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93958\OneDrive - London Borough of Croydon\Documents\Web\"/>
    </mc:Choice>
  </mc:AlternateContent>
  <bookViews>
    <workbookView xWindow="0" yWindow="0" windowWidth="10200" windowHeight="6216" firstSheet="1" activeTab="1"/>
  </bookViews>
  <sheets>
    <sheet name="S&amp;D  March 17 " sheetId="2" r:id="rId1"/>
    <sheet name="S&amp;D January 2018 (2)" sheetId="5" r:id="rId2"/>
    <sheet name="Ambitious for Croydon" sheetId="3" state="hidden" r:id="rId3"/>
  </sheets>
  <externalReferences>
    <externalReference r:id="rId4"/>
  </externalReferences>
  <definedNames>
    <definedName name="_xlnm._FilterDatabase" localSheetId="0" hidden="1">'S&amp;D  March 17 '!$A$55:$I$57</definedName>
    <definedName name="_xlnm._FilterDatabase" localSheetId="1" hidden="1">'S&amp;D January 2018 (2)'!$A$5:$BO$58</definedName>
    <definedName name="amber" localSheetId="1">'S&amp;D January 2018 (2)'!$BD$4:$BO$126</definedName>
    <definedName name="amber">#REF!</definedName>
    <definedName name="_xlnm.Print_Area" localSheetId="2">'Ambitious for Croydon'!$A$1:$G$2</definedName>
    <definedName name="_xlnm.Print_Area" localSheetId="0">'S&amp;D  March 17 '!$A$1:$S$128</definedName>
    <definedName name="_xlnm.Print_Area" localSheetId="1">'S&amp;D January 2018 (2)'!$A$1:$W$126</definedName>
    <definedName name="_xlnm.Print_Titles" localSheetId="0">'S&amp;D  March 17 '!$2:$4</definedName>
    <definedName name="_xlnm.Print_Titles" localSheetId="1">'S&amp;D January 2018 (2)'!$3:$5</definedName>
    <definedName name="qaz" localSheetId="1">#REF!</definedName>
    <definedName name="qaz">#REF!</definedName>
    <definedName name="qwerty" localSheetId="1">#REF!</definedName>
    <definedName name="qwerty">#REF!</definedName>
    <definedName name="staggered" localSheetId="1">'S&amp;D January 2018 (2)'!$AP$4:$BA$126</definedName>
    <definedName name="staggered">#REF!</definedName>
    <definedName name="zxcv" localSheetId="1">#REF!</definedName>
    <definedName name="zxc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7" i="5" l="1"/>
  <c r="V127" i="5"/>
  <c r="V129" i="5" s="1"/>
  <c r="U127" i="5"/>
  <c r="U132" i="5" s="1"/>
  <c r="T127" i="5"/>
  <c r="S127" i="5"/>
  <c r="R127" i="5"/>
  <c r="R129" i="5" s="1"/>
  <c r="Q127" i="5"/>
  <c r="P127" i="5"/>
  <c r="O127" i="5"/>
  <c r="N127" i="5"/>
  <c r="N129" i="5" s="1"/>
  <c r="AL126" i="5"/>
  <c r="AK126" i="5"/>
  <c r="AJ126" i="5"/>
  <c r="AI126" i="5"/>
  <c r="AH126" i="5"/>
  <c r="AG126" i="5"/>
  <c r="AF126" i="5"/>
  <c r="AE126" i="5"/>
  <c r="AD126" i="5"/>
  <c r="AC126" i="5"/>
  <c r="AB126" i="5"/>
  <c r="Y126" i="5" a="1"/>
  <c r="Y126" i="5" s="1"/>
  <c r="H126" i="5" a="1"/>
  <c r="H126" i="5" s="1"/>
  <c r="AL125" i="5"/>
  <c r="AK125" i="5"/>
  <c r="AJ125" i="5"/>
  <c r="AI125" i="5"/>
  <c r="AH125" i="5"/>
  <c r="AG125" i="5"/>
  <c r="AF125" i="5"/>
  <c r="AE125" i="5"/>
  <c r="AD125" i="5"/>
  <c r="AC125" i="5"/>
  <c r="AB125" i="5"/>
  <c r="Y125" i="5" a="1"/>
  <c r="Y125" i="5" s="1"/>
  <c r="H125" i="5" a="1"/>
  <c r="H125" i="5" s="1"/>
  <c r="AL124" i="5"/>
  <c r="AK124" i="5"/>
  <c r="AJ124" i="5"/>
  <c r="AI124" i="5"/>
  <c r="AH124" i="5"/>
  <c r="AG124" i="5"/>
  <c r="AF124" i="5"/>
  <c r="AE124" i="5"/>
  <c r="AD124" i="5"/>
  <c r="AC124" i="5"/>
  <c r="AB124" i="5"/>
  <c r="Y124" i="5" a="1"/>
  <c r="Y124" i="5" s="1"/>
  <c r="H124" i="5" a="1"/>
  <c r="H124" i="5" s="1"/>
  <c r="AL123" i="5"/>
  <c r="AK123" i="5"/>
  <c r="AJ123" i="5"/>
  <c r="AI123" i="5"/>
  <c r="AH123" i="5"/>
  <c r="AG123" i="5"/>
  <c r="AF123" i="5"/>
  <c r="AE123" i="5"/>
  <c r="AD123" i="5"/>
  <c r="AC123" i="5"/>
  <c r="AB123" i="5"/>
  <c r="Y123" i="5" a="1"/>
  <c r="Y123" i="5" s="1"/>
  <c r="H123" i="5" a="1"/>
  <c r="H123" i="5" s="1"/>
  <c r="AL122" i="5"/>
  <c r="AK122" i="5"/>
  <c r="AJ122" i="5"/>
  <c r="AI122" i="5"/>
  <c r="AH122" i="5"/>
  <c r="AG122" i="5"/>
  <c r="AF122" i="5"/>
  <c r="AE122" i="5"/>
  <c r="AD122" i="5"/>
  <c r="AC122" i="5"/>
  <c r="AB122" i="5"/>
  <c r="Y122" i="5" a="1"/>
  <c r="Y122" i="5" s="1"/>
  <c r="H122" i="5" a="1"/>
  <c r="H122" i="5" s="1"/>
  <c r="AL121" i="5"/>
  <c r="AK121" i="5"/>
  <c r="AJ121" i="5"/>
  <c r="AI121" i="5"/>
  <c r="AH121" i="5"/>
  <c r="AG121" i="5"/>
  <c r="AF121" i="5"/>
  <c r="AE121" i="5"/>
  <c r="AD121" i="5"/>
  <c r="AC121" i="5"/>
  <c r="AB121" i="5"/>
  <c r="Y121" i="5" a="1"/>
  <c r="Y121" i="5" s="1"/>
  <c r="H121" i="5" a="1"/>
  <c r="H121" i="5" s="1"/>
  <c r="AL120" i="5"/>
  <c r="AK120" i="5"/>
  <c r="AJ120" i="5"/>
  <c r="AI120" i="5"/>
  <c r="AH120" i="5"/>
  <c r="AG120" i="5"/>
  <c r="AF120" i="5"/>
  <c r="AE120" i="5"/>
  <c r="AD120" i="5"/>
  <c r="AC120" i="5"/>
  <c r="AB120" i="5"/>
  <c r="Y120" i="5" a="1"/>
  <c r="Y120" i="5" s="1"/>
  <c r="H120" i="5" a="1"/>
  <c r="H120" i="5" s="1"/>
  <c r="AL119" i="5"/>
  <c r="AK119" i="5"/>
  <c r="AJ119" i="5"/>
  <c r="AI119" i="5"/>
  <c r="AH119" i="5"/>
  <c r="AG119" i="5"/>
  <c r="AF119" i="5"/>
  <c r="AE119" i="5"/>
  <c r="AD119" i="5"/>
  <c r="AC119" i="5"/>
  <c r="AB119" i="5"/>
  <c r="Y119" i="5" a="1"/>
  <c r="Y119" i="5" s="1"/>
  <c r="H119" i="5" a="1"/>
  <c r="H119" i="5" s="1"/>
  <c r="AL118" i="5"/>
  <c r="AK118" i="5"/>
  <c r="AJ118" i="5"/>
  <c r="AI118" i="5"/>
  <c r="AH118" i="5"/>
  <c r="AG118" i="5"/>
  <c r="AF118" i="5"/>
  <c r="AE118" i="5"/>
  <c r="AD118" i="5"/>
  <c r="AC118" i="5"/>
  <c r="AB118" i="5"/>
  <c r="Y118" i="5" a="1"/>
  <c r="Y118" i="5" s="1"/>
  <c r="H118" i="5" a="1"/>
  <c r="H118" i="5" s="1"/>
  <c r="AL117" i="5"/>
  <c r="AK117" i="5"/>
  <c r="AJ117" i="5"/>
  <c r="AI117" i="5"/>
  <c r="AH117" i="5"/>
  <c r="AG117" i="5"/>
  <c r="AF117" i="5"/>
  <c r="AE117" i="5"/>
  <c r="AD117" i="5"/>
  <c r="AC117" i="5"/>
  <c r="AB117" i="5"/>
  <c r="Y117" i="5" a="1"/>
  <c r="Y117" i="5" s="1"/>
  <c r="H117" i="5" a="1"/>
  <c r="H117" i="5" s="1"/>
  <c r="H116" i="5"/>
  <c r="AL115" i="5"/>
  <c r="AK115" i="5"/>
  <c r="AJ115" i="5"/>
  <c r="AI115" i="5"/>
  <c r="AH115" i="5"/>
  <c r="AG115" i="5"/>
  <c r="AF115" i="5"/>
  <c r="AE115" i="5"/>
  <c r="AD115" i="5"/>
  <c r="AC115" i="5"/>
  <c r="AB115" i="5"/>
  <c r="Y115" i="5" a="1"/>
  <c r="Y115" i="5" s="1"/>
  <c r="H115" i="5" a="1"/>
  <c r="H115" i="5" s="1"/>
  <c r="AL114" i="5"/>
  <c r="AK114" i="5"/>
  <c r="AJ114" i="5"/>
  <c r="AI114" i="5"/>
  <c r="AH114" i="5"/>
  <c r="AG114" i="5"/>
  <c r="AF114" i="5"/>
  <c r="AE114" i="5"/>
  <c r="AD114" i="5"/>
  <c r="AC114" i="5"/>
  <c r="AB114" i="5"/>
  <c r="Y114" i="5" a="1"/>
  <c r="Y114" i="5" s="1"/>
  <c r="H114" i="5" a="1"/>
  <c r="H114" i="5" s="1"/>
  <c r="AL113" i="5"/>
  <c r="AK113" i="5"/>
  <c r="AJ113" i="5"/>
  <c r="AI113" i="5"/>
  <c r="AH113" i="5"/>
  <c r="AG113" i="5"/>
  <c r="AF113" i="5"/>
  <c r="AE113" i="5"/>
  <c r="AD113" i="5"/>
  <c r="AC113" i="5"/>
  <c r="AB113" i="5"/>
  <c r="Y113" i="5" a="1"/>
  <c r="Y113" i="5" s="1"/>
  <c r="H113" i="5" a="1"/>
  <c r="H113" i="5" s="1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L112" i="5"/>
  <c r="AK112" i="5"/>
  <c r="AJ112" i="5"/>
  <c r="AI112" i="5"/>
  <c r="AH112" i="5"/>
  <c r="AG112" i="5"/>
  <c r="AF112" i="5"/>
  <c r="AE112" i="5"/>
  <c r="AD112" i="5"/>
  <c r="M112" i="5"/>
  <c r="L112" i="5"/>
  <c r="L127" i="5" s="1"/>
  <c r="L129" i="5" s="1"/>
  <c r="H111" i="5"/>
  <c r="AL110" i="5"/>
  <c r="AK110" i="5"/>
  <c r="AJ110" i="5"/>
  <c r="AI110" i="5"/>
  <c r="AH110" i="5"/>
  <c r="AG110" i="5"/>
  <c r="AF110" i="5"/>
  <c r="AE110" i="5"/>
  <c r="AD110" i="5"/>
  <c r="AC110" i="5"/>
  <c r="AB110" i="5"/>
  <c r="Y110" i="5" a="1"/>
  <c r="Y110" i="5" s="1"/>
  <c r="H110" i="5" a="1"/>
  <c r="H110" i="5" s="1"/>
  <c r="AL109" i="5"/>
  <c r="AK109" i="5"/>
  <c r="AJ109" i="5"/>
  <c r="AI109" i="5"/>
  <c r="AH109" i="5"/>
  <c r="AG109" i="5"/>
  <c r="AF109" i="5"/>
  <c r="AE109" i="5"/>
  <c r="AD109" i="5"/>
  <c r="AC109" i="5"/>
  <c r="AB109" i="5"/>
  <c r="Y109" i="5" a="1"/>
  <c r="Y109" i="5" s="1"/>
  <c r="H109" i="5" a="1"/>
  <c r="H109" i="5" s="1"/>
  <c r="AL108" i="5"/>
  <c r="AK108" i="5"/>
  <c r="AJ108" i="5"/>
  <c r="AI108" i="5"/>
  <c r="AH108" i="5"/>
  <c r="AG108" i="5"/>
  <c r="AF108" i="5"/>
  <c r="AE108" i="5"/>
  <c r="AD108" i="5"/>
  <c r="AC108" i="5"/>
  <c r="AB108" i="5"/>
  <c r="Y108" i="5" a="1"/>
  <c r="Y108" i="5" s="1"/>
  <c r="H108" i="5" a="1"/>
  <c r="H108" i="5" s="1"/>
  <c r="AL107" i="5"/>
  <c r="AK107" i="5"/>
  <c r="AJ107" i="5"/>
  <c r="AI107" i="5"/>
  <c r="AH107" i="5"/>
  <c r="AG107" i="5"/>
  <c r="AF107" i="5"/>
  <c r="AE107" i="5"/>
  <c r="AD107" i="5"/>
  <c r="AC107" i="5"/>
  <c r="AB107" i="5"/>
  <c r="Y107" i="5" a="1"/>
  <c r="Y107" i="5" s="1"/>
  <c r="H107" i="5" a="1"/>
  <c r="H107" i="5" s="1"/>
  <c r="H106" i="5"/>
  <c r="H105" i="5"/>
  <c r="AL104" i="5"/>
  <c r="AK104" i="5"/>
  <c r="AJ104" i="5"/>
  <c r="AI104" i="5"/>
  <c r="AH104" i="5"/>
  <c r="AG104" i="5"/>
  <c r="AF104" i="5"/>
  <c r="AE104" i="5"/>
  <c r="AD104" i="5"/>
  <c r="AC104" i="5"/>
  <c r="AB104" i="5"/>
  <c r="Y104" i="5" a="1"/>
  <c r="Y104" i="5" s="1"/>
  <c r="H104" i="5" a="1"/>
  <c r="H104" i="5" s="1"/>
  <c r="AL103" i="5"/>
  <c r="AK103" i="5"/>
  <c r="AJ103" i="5"/>
  <c r="AI103" i="5"/>
  <c r="AH103" i="5"/>
  <c r="AG103" i="5"/>
  <c r="AF103" i="5"/>
  <c r="AE103" i="5"/>
  <c r="AD103" i="5"/>
  <c r="AC103" i="5"/>
  <c r="AB103" i="5"/>
  <c r="Y103" i="5" a="1"/>
  <c r="Y103" i="5" s="1"/>
  <c r="H103" i="5" a="1"/>
  <c r="H103" i="5" s="1"/>
  <c r="H102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L101" i="5"/>
  <c r="W101" i="5"/>
  <c r="W132" i="5" s="1"/>
  <c r="V101" i="5"/>
  <c r="AK101" i="5" s="1"/>
  <c r="T101" i="5"/>
  <c r="AJ101" i="5" s="1"/>
  <c r="S101" i="5"/>
  <c r="S132" i="5" s="1"/>
  <c r="R101" i="5"/>
  <c r="Q101" i="5"/>
  <c r="AF101" i="5" s="1"/>
  <c r="P101" i="5"/>
  <c r="O101" i="5"/>
  <c r="N101" i="5"/>
  <c r="M101" i="5"/>
  <c r="AB101" i="5" s="1"/>
  <c r="L101" i="5"/>
  <c r="L132" i="5" s="1"/>
  <c r="K101" i="5"/>
  <c r="C101" i="5"/>
  <c r="BD100" i="5"/>
  <c r="AP100" i="5"/>
  <c r="AB100" i="5"/>
  <c r="AQ100" i="5" s="1"/>
  <c r="BE100" i="5" s="1"/>
  <c r="Y100" i="5" a="1"/>
  <c r="Y100" i="5" s="1"/>
  <c r="BD99" i="5"/>
  <c r="AP99" i="5"/>
  <c r="AB99" i="5"/>
  <c r="AQ99" i="5" s="1"/>
  <c r="BE99" i="5" s="1"/>
  <c r="Y99" i="5" a="1"/>
  <c r="Y99" i="5" s="1"/>
  <c r="BD98" i="5"/>
  <c r="AP98" i="5"/>
  <c r="AB98" i="5"/>
  <c r="AQ98" i="5" s="1"/>
  <c r="BE98" i="5" s="1"/>
  <c r="Y98" i="5" a="1"/>
  <c r="Y98" i="5" s="1"/>
  <c r="BD97" i="5"/>
  <c r="AP97" i="5"/>
  <c r="AB97" i="5"/>
  <c r="AQ97" i="5" s="1"/>
  <c r="BE97" i="5" s="1"/>
  <c r="Y97" i="5" a="1"/>
  <c r="Y97" i="5" s="1"/>
  <c r="BE96" i="5"/>
  <c r="BD96" i="5"/>
  <c r="AP96" i="5"/>
  <c r="AB96" i="5"/>
  <c r="AQ96" i="5" s="1"/>
  <c r="Y96" i="5" a="1"/>
  <c r="Y96" i="5" s="1"/>
  <c r="H96" i="5" s="1"/>
  <c r="BD95" i="5"/>
  <c r="AP95" i="5"/>
  <c r="AB95" i="5"/>
  <c r="AQ95" i="5" s="1"/>
  <c r="BE95" i="5" s="1"/>
  <c r="Y95" i="5" a="1"/>
  <c r="Y95" i="5" s="1"/>
  <c r="BD94" i="5"/>
  <c r="AP94" i="5"/>
  <c r="AB94" i="5"/>
  <c r="AQ94" i="5" s="1"/>
  <c r="BE94" i="5" s="1"/>
  <c r="Y94" i="5" a="1"/>
  <c r="Y94" i="5" s="1"/>
  <c r="BD93" i="5"/>
  <c r="AP93" i="5"/>
  <c r="AB93" i="5"/>
  <c r="AQ93" i="5" s="1"/>
  <c r="BE93" i="5" s="1"/>
  <c r="Y93" i="5" a="1"/>
  <c r="Y93" i="5" s="1"/>
  <c r="BD92" i="5"/>
  <c r="AP92" i="5"/>
  <c r="AB92" i="5"/>
  <c r="AQ92" i="5" s="1"/>
  <c r="BE92" i="5" s="1"/>
  <c r="Y92" i="5" a="1"/>
  <c r="Y92" i="5" s="1"/>
  <c r="BD91" i="5"/>
  <c r="AP91" i="5"/>
  <c r="AB91" i="5"/>
  <c r="AQ91" i="5" s="1"/>
  <c r="BE91" i="5" s="1"/>
  <c r="Y91" i="5" a="1"/>
  <c r="Y91" i="5" s="1"/>
  <c r="BE90" i="5"/>
  <c r="BD90" i="5"/>
  <c r="AP90" i="5"/>
  <c r="AB90" i="5"/>
  <c r="AQ90" i="5" s="1"/>
  <c r="Y90" i="5" a="1"/>
  <c r="Y90" i="5" s="1"/>
  <c r="H90" i="5" s="1"/>
  <c r="BD89" i="5"/>
  <c r="AP89" i="5"/>
  <c r="AB89" i="5"/>
  <c r="AQ89" i="5" s="1"/>
  <c r="BE89" i="5" s="1"/>
  <c r="Y89" i="5" a="1"/>
  <c r="Y89" i="5" s="1"/>
  <c r="BD88" i="5"/>
  <c r="AP88" i="5"/>
  <c r="AB88" i="5"/>
  <c r="AQ88" i="5" s="1"/>
  <c r="BE88" i="5" s="1"/>
  <c r="Y88" i="5" a="1"/>
  <c r="Y88" i="5" s="1"/>
  <c r="BD87" i="5"/>
  <c r="AP87" i="5"/>
  <c r="AB87" i="5"/>
  <c r="AQ87" i="5" s="1"/>
  <c r="BE87" i="5" s="1"/>
  <c r="Y87" i="5" a="1"/>
  <c r="Y87" i="5" s="1"/>
  <c r="H86" i="5"/>
  <c r="N85" i="5"/>
  <c r="AC85" i="5" s="1"/>
  <c r="K85" i="5"/>
  <c r="C85" i="5"/>
  <c r="H84" i="5"/>
  <c r="BD83" i="5"/>
  <c r="AP83" i="5"/>
  <c r="AL83" i="5"/>
  <c r="AK83" i="5"/>
  <c r="AJ83" i="5"/>
  <c r="AI83" i="5"/>
  <c r="AH83" i="5"/>
  <c r="AG83" i="5"/>
  <c r="AF83" i="5"/>
  <c r="AD83" i="5"/>
  <c r="AC83" i="5"/>
  <c r="AB83" i="5"/>
  <c r="AQ83" i="5" s="1"/>
  <c r="BE83" i="5" s="1"/>
  <c r="P83" i="5"/>
  <c r="BD82" i="5"/>
  <c r="AP82" i="5"/>
  <c r="AN82" i="5"/>
  <c r="AG82" i="5"/>
  <c r="W82" i="5"/>
  <c r="AL82" i="5" s="1"/>
  <c r="V82" i="5"/>
  <c r="AK82" i="5" s="1"/>
  <c r="U82" i="5"/>
  <c r="T82" i="5"/>
  <c r="AI82" i="5" s="1"/>
  <c r="S82" i="5"/>
  <c r="AH82" i="5" s="1"/>
  <c r="R82" i="5"/>
  <c r="Q82" i="5"/>
  <c r="P82" i="5"/>
  <c r="AE82" i="5" s="1"/>
  <c r="O82" i="5"/>
  <c r="AD82" i="5" s="1"/>
  <c r="N82" i="5"/>
  <c r="AC82" i="5" s="1"/>
  <c r="M82" i="5"/>
  <c r="L82" i="5"/>
  <c r="AA82" i="5" s="1"/>
  <c r="K82" i="5"/>
  <c r="D82" i="5"/>
  <c r="C82" i="5"/>
  <c r="BD81" i="5"/>
  <c r="AP81" i="5"/>
  <c r="AL81" i="5"/>
  <c r="AK81" i="5"/>
  <c r="AJ81" i="5"/>
  <c r="AI81" i="5"/>
  <c r="AH81" i="5"/>
  <c r="AG81" i="5"/>
  <c r="AF81" i="5"/>
  <c r="AE81" i="5"/>
  <c r="AD81" i="5"/>
  <c r="AC81" i="5"/>
  <c r="AB81" i="5"/>
  <c r="AQ81" i="5" s="1"/>
  <c r="BE81" i="5" s="1"/>
  <c r="AA81" i="5"/>
  <c r="Y81" i="5" a="1"/>
  <c r="Y81" i="5" s="1"/>
  <c r="H81" i="5" a="1"/>
  <c r="H81" i="5" s="1"/>
  <c r="G81" i="5"/>
  <c r="BD80" i="5"/>
  <c r="AP80" i="5"/>
  <c r="AL80" i="5"/>
  <c r="AK80" i="5"/>
  <c r="AJ80" i="5"/>
  <c r="AI80" i="5"/>
  <c r="AH80" i="5"/>
  <c r="AG80" i="5"/>
  <c r="AF80" i="5"/>
  <c r="AE80" i="5"/>
  <c r="AD80" i="5"/>
  <c r="AC80" i="5"/>
  <c r="AB80" i="5"/>
  <c r="AQ80" i="5" s="1"/>
  <c r="BE80" i="5" s="1"/>
  <c r="AA80" i="5"/>
  <c r="Y80" i="5" a="1"/>
  <c r="Y80" i="5" s="1"/>
  <c r="H80" i="5" a="1"/>
  <c r="H80" i="5" s="1"/>
  <c r="H82" i="5" s="1"/>
  <c r="G80" i="5"/>
  <c r="G82" i="5" s="1"/>
  <c r="H79" i="5"/>
  <c r="H78" i="5"/>
  <c r="BD77" i="5"/>
  <c r="AP77" i="5"/>
  <c r="AB77" i="5"/>
  <c r="AQ77" i="5" s="1"/>
  <c r="BE77" i="5" s="1"/>
  <c r="Y77" i="5" a="1"/>
  <c r="Y77" i="5" s="1"/>
  <c r="BD76" i="5"/>
  <c r="AP76" i="5"/>
  <c r="AL76" i="5"/>
  <c r="AE76" i="5"/>
  <c r="AC76" i="5"/>
  <c r="W76" i="5"/>
  <c r="V76" i="5"/>
  <c r="AN76" i="5" s="1"/>
  <c r="U76" i="5"/>
  <c r="T76" i="5"/>
  <c r="AI76" i="5" s="1"/>
  <c r="S76" i="5"/>
  <c r="R76" i="5"/>
  <c r="Q76" i="5"/>
  <c r="P76" i="5"/>
  <c r="O76" i="5"/>
  <c r="N76" i="5"/>
  <c r="AD76" i="5" s="1"/>
  <c r="M76" i="5"/>
  <c r="L76" i="5"/>
  <c r="AA76" i="5" s="1"/>
  <c r="K76" i="5"/>
  <c r="D76" i="5"/>
  <c r="C76" i="5"/>
  <c r="BD75" i="5"/>
  <c r="AP75" i="5"/>
  <c r="AL75" i="5"/>
  <c r="AK75" i="5"/>
  <c r="AJ75" i="5"/>
  <c r="AI75" i="5"/>
  <c r="AH75" i="5"/>
  <c r="AG75" i="5"/>
  <c r="AF75" i="5"/>
  <c r="AE75" i="5"/>
  <c r="AD75" i="5"/>
  <c r="AC75" i="5"/>
  <c r="AB75" i="5"/>
  <c r="AQ75" i="5" s="1"/>
  <c r="BE75" i="5" s="1"/>
  <c r="AA75" i="5"/>
  <c r="Y75" i="5"/>
  <c r="Y75" i="5" a="1"/>
  <c r="H75" i="5" a="1"/>
  <c r="H75" i="5" s="1"/>
  <c r="G75" i="5"/>
  <c r="H74" i="5"/>
  <c r="BD73" i="5"/>
  <c r="AQ73" i="5"/>
  <c r="BE73" i="5" s="1"/>
  <c r="AP73" i="5"/>
  <c r="AL73" i="5"/>
  <c r="AK73" i="5"/>
  <c r="AJ73" i="5"/>
  <c r="AH73" i="5"/>
  <c r="AG73" i="5"/>
  <c r="AF73" i="5"/>
  <c r="AE73" i="5"/>
  <c r="AD73" i="5"/>
  <c r="AC73" i="5"/>
  <c r="AB73" i="5"/>
  <c r="AA73" i="5"/>
  <c r="T73" i="5"/>
  <c r="H73" i="5" a="1"/>
  <c r="H73" i="5" s="1"/>
  <c r="H72" i="5"/>
  <c r="BD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Q71" i="5" s="1"/>
  <c r="BE71" i="5" s="1"/>
  <c r="AA71" i="5"/>
  <c r="Y71" i="5" a="1"/>
  <c r="Y71" i="5" s="1"/>
  <c r="H71" i="5" a="1"/>
  <c r="H71" i="5" s="1"/>
  <c r="G71" i="5"/>
  <c r="H70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Y69" i="5" a="1"/>
  <c r="Y69" i="5" s="1"/>
  <c r="H69" i="5" a="1"/>
  <c r="H69" i="5" s="1"/>
  <c r="G69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Y68" i="5" a="1"/>
  <c r="Y68" i="5" s="1"/>
  <c r="H68" i="5" a="1"/>
  <c r="H68" i="5" s="1"/>
  <c r="G68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N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Y67" i="5" a="1"/>
  <c r="Y67" i="5" s="1"/>
  <c r="BC67" i="5" s="1"/>
  <c r="H67" i="5" a="1"/>
  <c r="H67" i="5" s="1"/>
  <c r="G67" i="5"/>
  <c r="G76" i="5" s="1"/>
  <c r="H66" i="5"/>
  <c r="Y65" i="5" a="1"/>
  <c r="Y65" i="5" s="1"/>
  <c r="H65" i="5" s="1"/>
  <c r="H64" i="5"/>
  <c r="H63" i="5"/>
  <c r="BD62" i="5"/>
  <c r="AP62" i="5"/>
  <c r="Q62" i="5"/>
  <c r="E62" i="5"/>
  <c r="D62" i="5"/>
  <c r="H61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L60" i="5"/>
  <c r="AK60" i="5"/>
  <c r="AC60" i="5"/>
  <c r="W60" i="5"/>
  <c r="W85" i="5" s="1"/>
  <c r="AL85" i="5" s="1"/>
  <c r="V60" i="5"/>
  <c r="V85" i="5" s="1"/>
  <c r="AK85" i="5" s="1"/>
  <c r="U60" i="5"/>
  <c r="U85" i="5" s="1"/>
  <c r="T60" i="5"/>
  <c r="S60" i="5"/>
  <c r="S85" i="5" s="1"/>
  <c r="R60" i="5"/>
  <c r="AH60" i="5" s="1"/>
  <c r="Q60" i="5"/>
  <c r="Q85" i="5" s="1"/>
  <c r="P60" i="5"/>
  <c r="O60" i="5"/>
  <c r="O85" i="5" s="1"/>
  <c r="N60" i="5"/>
  <c r="AD60" i="5" s="1"/>
  <c r="M60" i="5"/>
  <c r="M85" i="5" s="1"/>
  <c r="L60" i="5"/>
  <c r="Y60" i="5" s="1" a="1"/>
  <c r="Y60" i="5" s="1"/>
  <c r="BO58" i="5"/>
  <c r="BN58" i="5"/>
  <c r="BM58" i="5"/>
  <c r="BL58" i="5"/>
  <c r="BK58" i="5"/>
  <c r="BJ58" i="5"/>
  <c r="BI58" i="5"/>
  <c r="BH58" i="5"/>
  <c r="BG58" i="5"/>
  <c r="BF58" i="5"/>
  <c r="BE58" i="5"/>
  <c r="BD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Y58" i="5" a="1"/>
  <c r="Y58" i="5" s="1"/>
  <c r="H58" i="5" a="1"/>
  <c r="H58" i="5" s="1"/>
  <c r="G58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Q57" i="5"/>
  <c r="AF57" i="5" s="1"/>
  <c r="M57" i="5"/>
  <c r="L57" i="5"/>
  <c r="C57" i="5"/>
  <c r="C62" i="5" s="1"/>
  <c r="H56" i="5"/>
  <c r="H55" i="5"/>
  <c r="BD54" i="5"/>
  <c r="AP54" i="5"/>
  <c r="H53" i="5"/>
  <c r="BD52" i="5"/>
  <c r="AP52" i="5"/>
  <c r="U52" i="5"/>
  <c r="K52" i="5"/>
  <c r="E52" i="5"/>
  <c r="D52" i="5"/>
  <c r="C52" i="5"/>
  <c r="BD51" i="5"/>
  <c r="AP51" i="5"/>
  <c r="AL51" i="5"/>
  <c r="AA51" i="5"/>
  <c r="W51" i="5"/>
  <c r="V51" i="5"/>
  <c r="AK51" i="5" s="1"/>
  <c r="U51" i="5"/>
  <c r="AJ51" i="5" s="1"/>
  <c r="T51" i="5"/>
  <c r="S51" i="5"/>
  <c r="AI51" i="5" s="1"/>
  <c r="R51" i="5"/>
  <c r="Q51" i="5"/>
  <c r="AF51" i="5" s="1"/>
  <c r="P51" i="5"/>
  <c r="O51" i="5"/>
  <c r="AE51" i="5" s="1"/>
  <c r="N51" i="5"/>
  <c r="M51" i="5"/>
  <c r="H51" i="5" s="1" a="1"/>
  <c r="H51" i="5" s="1"/>
  <c r="L51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L50" i="5"/>
  <c r="AK50" i="5"/>
  <c r="AE50" i="5"/>
  <c r="AD50" i="5"/>
  <c r="W50" i="5"/>
  <c r="V50" i="5"/>
  <c r="U50" i="5"/>
  <c r="AJ50" i="5" s="1"/>
  <c r="T50" i="5"/>
  <c r="AI50" i="5" s="1"/>
  <c r="S50" i="5"/>
  <c r="R50" i="5"/>
  <c r="AH50" i="5" s="1"/>
  <c r="Q50" i="5"/>
  <c r="AF50" i="5" s="1"/>
  <c r="P50" i="5"/>
  <c r="O50" i="5"/>
  <c r="N50" i="5"/>
  <c r="M50" i="5"/>
  <c r="AB50" i="5" s="1"/>
  <c r="L50" i="5"/>
  <c r="K50" i="5"/>
  <c r="H50" i="5" a="1"/>
  <c r="H50" i="5" s="1"/>
  <c r="C50" i="5"/>
  <c r="H49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W48" i="5"/>
  <c r="V48" i="5"/>
  <c r="D48" i="5"/>
  <c r="D54" i="5" s="1"/>
  <c r="C48" i="5"/>
  <c r="C54" i="5" s="1"/>
  <c r="BO47" i="5"/>
  <c r="BN47" i="5"/>
  <c r="BM47" i="5"/>
  <c r="BL47" i="5"/>
  <c r="BK47" i="5"/>
  <c r="BJ47" i="5"/>
  <c r="BI47" i="5"/>
  <c r="BH47" i="5"/>
  <c r="BG47" i="5"/>
  <c r="BF47" i="5"/>
  <c r="BE47" i="5"/>
  <c r="BD47" i="5"/>
  <c r="AR47" i="5"/>
  <c r="AL47" i="5"/>
  <c r="AK47" i="5"/>
  <c r="AH47" i="5"/>
  <c r="AG47" i="5"/>
  <c r="AD47" i="5"/>
  <c r="W47" i="5"/>
  <c r="V47" i="5"/>
  <c r="U47" i="5"/>
  <c r="T47" i="5"/>
  <c r="AI47" i="5" s="1"/>
  <c r="S47" i="5"/>
  <c r="R47" i="5"/>
  <c r="Q47" i="5"/>
  <c r="P47" i="5"/>
  <c r="AE47" i="5" s="1"/>
  <c r="O47" i="5"/>
  <c r="N47" i="5"/>
  <c r="M47" i="5"/>
  <c r="L47" i="5"/>
  <c r="AA47" i="5" s="1"/>
  <c r="K47" i="5"/>
  <c r="E47" i="5"/>
  <c r="AW47" i="5" s="1"/>
  <c r="D47" i="5"/>
  <c r="C47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Y46" i="5" a="1"/>
  <c r="Y46" i="5" s="1"/>
  <c r="BC46" i="5" s="1"/>
  <c r="H46" i="5" a="1"/>
  <c r="H46" i="5" s="1"/>
  <c r="G46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Y45" i="5" a="1"/>
  <c r="Y45" i="5" s="1"/>
  <c r="AN45" i="5" s="1"/>
  <c r="H45" i="5" a="1"/>
  <c r="H45" i="5" s="1"/>
  <c r="G45" i="5"/>
  <c r="G47" i="5" s="1"/>
  <c r="H44" i="5"/>
  <c r="H43" i="5"/>
  <c r="BD42" i="5"/>
  <c r="AP42" i="5"/>
  <c r="AJ42" i="5"/>
  <c r="AF42" i="5"/>
  <c r="AE42" i="5"/>
  <c r="AB42" i="5"/>
  <c r="AQ42" i="5" s="1"/>
  <c r="BE42" i="5" s="1"/>
  <c r="AA42" i="5"/>
  <c r="W42" i="5"/>
  <c r="V42" i="5"/>
  <c r="AK42" i="5" s="1"/>
  <c r="U42" i="5"/>
  <c r="T42" i="5"/>
  <c r="S42" i="5"/>
  <c r="R42" i="5"/>
  <c r="AG42" i="5" s="1"/>
  <c r="Q42" i="5"/>
  <c r="P42" i="5"/>
  <c r="P57" i="5" s="1"/>
  <c r="O42" i="5"/>
  <c r="N42" i="5"/>
  <c r="M42" i="5"/>
  <c r="L42" i="5"/>
  <c r="K42" i="5"/>
  <c r="K57" i="5" s="1"/>
  <c r="K62" i="5" s="1"/>
  <c r="D42" i="5"/>
  <c r="C42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L41" i="5"/>
  <c r="AK41" i="5"/>
  <c r="AH41" i="5"/>
  <c r="AG41" i="5"/>
  <c r="AF41" i="5"/>
  <c r="AE41" i="5"/>
  <c r="AD41" i="5"/>
  <c r="AC41" i="5"/>
  <c r="AB41" i="5"/>
  <c r="AA41" i="5"/>
  <c r="T41" i="5"/>
  <c r="AI41" i="5" s="1"/>
  <c r="H41" i="5" a="1"/>
  <c r="H41" i="5" s="1"/>
  <c r="BD40" i="5"/>
  <c r="AP40" i="5"/>
  <c r="AL40" i="5"/>
  <c r="AK40" i="5"/>
  <c r="AJ40" i="5"/>
  <c r="AI40" i="5"/>
  <c r="AH40" i="5"/>
  <c r="AG40" i="5"/>
  <c r="AF40" i="5"/>
  <c r="AE40" i="5"/>
  <c r="AD40" i="5"/>
  <c r="AC40" i="5"/>
  <c r="AB40" i="5"/>
  <c r="AQ40" i="5" s="1"/>
  <c r="BE40" i="5" s="1"/>
  <c r="AA40" i="5"/>
  <c r="Y40" i="5" a="1"/>
  <c r="Y40" i="5" s="1"/>
  <c r="H40" i="5" a="1"/>
  <c r="H40" i="5" s="1"/>
  <c r="G40" i="5"/>
  <c r="BD39" i="5"/>
  <c r="AP39" i="5"/>
  <c r="AL39" i="5"/>
  <c r="AK39" i="5"/>
  <c r="AJ39" i="5"/>
  <c r="AI39" i="5"/>
  <c r="AH39" i="5"/>
  <c r="AG39" i="5"/>
  <c r="AF39" i="5"/>
  <c r="AE39" i="5"/>
  <c r="AD39" i="5"/>
  <c r="AC39" i="5"/>
  <c r="AB39" i="5"/>
  <c r="AQ39" i="5" s="1"/>
  <c r="BE39" i="5" s="1"/>
  <c r="AA39" i="5"/>
  <c r="Y39" i="5" a="1"/>
  <c r="Y39" i="5" s="1"/>
  <c r="H39" i="5" a="1"/>
  <c r="H39" i="5" s="1"/>
  <c r="G39" i="5"/>
  <c r="H38" i="5"/>
  <c r="H37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Y36" i="5" a="1"/>
  <c r="Y36" i="5" s="1"/>
  <c r="AN36" i="5" s="1"/>
  <c r="H36" i="5" a="1"/>
  <c r="H36" i="5" s="1"/>
  <c r="G36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Y35" i="5" a="1"/>
  <c r="Y35" i="5" s="1"/>
  <c r="AN35" i="5" s="1"/>
  <c r="H35" i="5" a="1"/>
  <c r="H35" i="5" s="1"/>
  <c r="G35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Y34" i="5" a="1"/>
  <c r="Y34" i="5" s="1"/>
  <c r="AN34" i="5" s="1"/>
  <c r="H34" i="5" a="1"/>
  <c r="H34" i="5" s="1"/>
  <c r="G34" i="5"/>
  <c r="H33" i="5"/>
  <c r="H32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W31" i="5"/>
  <c r="AL31" i="5" s="1"/>
  <c r="R31" i="5"/>
  <c r="H30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K29" i="5"/>
  <c r="AG29" i="5"/>
  <c r="AF29" i="5"/>
  <c r="AC29" i="5"/>
  <c r="AB29" i="5"/>
  <c r="W29" i="5"/>
  <c r="W52" i="5" s="1"/>
  <c r="AL52" i="5" s="1"/>
  <c r="V29" i="5"/>
  <c r="V52" i="5" s="1"/>
  <c r="AK52" i="5" s="1"/>
  <c r="U29" i="5"/>
  <c r="AJ29" i="5" s="1"/>
  <c r="T29" i="5"/>
  <c r="S29" i="5"/>
  <c r="AH29" i="5" s="1"/>
  <c r="R29" i="5"/>
  <c r="R52" i="5" s="1"/>
  <c r="Q29" i="5"/>
  <c r="Q52" i="5" s="1"/>
  <c r="P29" i="5"/>
  <c r="P52" i="5" s="1"/>
  <c r="AF52" i="5" s="1"/>
  <c r="O29" i="5"/>
  <c r="O52" i="5" s="1"/>
  <c r="N29" i="5"/>
  <c r="N52" i="5" s="1"/>
  <c r="AC52" i="5" s="1"/>
  <c r="M29" i="5"/>
  <c r="M52" i="5" s="1"/>
  <c r="L29" i="5"/>
  <c r="L52" i="5" s="1"/>
  <c r="K29" i="5"/>
  <c r="E29" i="5"/>
  <c r="D29" i="5"/>
  <c r="D31" i="5" s="1"/>
  <c r="C29" i="5"/>
  <c r="AP28" i="5"/>
  <c r="AL28" i="5"/>
  <c r="AK28" i="5"/>
  <c r="AJ28" i="5"/>
  <c r="AI28" i="5"/>
  <c r="AH28" i="5"/>
  <c r="AG28" i="5"/>
  <c r="AF28" i="5"/>
  <c r="AE28" i="5"/>
  <c r="AD28" i="5"/>
  <c r="AC28" i="5"/>
  <c r="AB28" i="5"/>
  <c r="AQ28" i="5" s="1"/>
  <c r="AA28" i="5"/>
  <c r="Y28" i="5" a="1"/>
  <c r="Y28" i="5" s="1"/>
  <c r="AN28" i="5" s="1"/>
  <c r="H28" i="5" a="1"/>
  <c r="H28" i="5" s="1"/>
  <c r="G28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Y27" i="5" a="1"/>
  <c r="Y27" i="5" s="1"/>
  <c r="AN27" i="5" s="1"/>
  <c r="H27" i="5" a="1"/>
  <c r="H27" i="5" s="1"/>
  <c r="G27" i="5"/>
  <c r="G29" i="5" s="1"/>
  <c r="H26" i="5"/>
  <c r="AL25" i="5"/>
  <c r="AE25" i="5"/>
  <c r="AD25" i="5"/>
  <c r="AA25" i="5"/>
  <c r="W25" i="5"/>
  <c r="V25" i="5"/>
  <c r="V31" i="5" s="1"/>
  <c r="AK31" i="5" s="1"/>
  <c r="U25" i="5"/>
  <c r="U31" i="5" s="1"/>
  <c r="T25" i="5"/>
  <c r="R25" i="5"/>
  <c r="AG25" i="5" s="1"/>
  <c r="Q25" i="5"/>
  <c r="Q31" i="5" s="1"/>
  <c r="P25" i="5"/>
  <c r="O25" i="5"/>
  <c r="O31" i="5" s="1"/>
  <c r="N25" i="5"/>
  <c r="AC25" i="5" s="1"/>
  <c r="M25" i="5"/>
  <c r="M31" i="5" s="1"/>
  <c r="L25" i="5"/>
  <c r="E25" i="5"/>
  <c r="D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Y24" i="5"/>
  <c r="Y24" i="5" a="1"/>
  <c r="H24" i="5" a="1"/>
  <c r="H24" i="5" s="1"/>
  <c r="H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Y22" i="5" a="1"/>
  <c r="Y22" i="5" s="1"/>
  <c r="AN22" i="5" s="1"/>
  <c r="H22" i="5"/>
  <c r="G22" i="5"/>
  <c r="H21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Y20" i="5" a="1"/>
  <c r="Y20" i="5" s="1"/>
  <c r="H20" i="5" a="1"/>
  <c r="H20" i="5" s="1"/>
  <c r="G20" i="5"/>
  <c r="BN19" i="5"/>
  <c r="BM19" i="5"/>
  <c r="BL19" i="5"/>
  <c r="BK19" i="5"/>
  <c r="BJ19" i="5"/>
  <c r="BI19" i="5"/>
  <c r="BH19" i="5"/>
  <c r="BG19" i="5"/>
  <c r="BF19" i="5"/>
  <c r="BE19" i="5"/>
  <c r="BD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Y19" i="5"/>
  <c r="AN19" i="5" s="1"/>
  <c r="Y19" i="5" a="1"/>
  <c r="H19" i="5" a="1"/>
  <c r="H19" i="5" s="1"/>
  <c r="G19" i="5"/>
  <c r="H18" i="5"/>
  <c r="BE17" i="5"/>
  <c r="BD17" i="5"/>
  <c r="AG17" i="5"/>
  <c r="AF17" i="5"/>
  <c r="AE17" i="5"/>
  <c r="AD17" i="5"/>
  <c r="AC17" i="5"/>
  <c r="AB17" i="5"/>
  <c r="AA17" i="5"/>
  <c r="Y17" i="5"/>
  <c r="Y17" i="5" a="1"/>
  <c r="H17" i="5" a="1"/>
  <c r="H17" i="5" s="1"/>
  <c r="G17" i="5"/>
  <c r="H16" i="5"/>
  <c r="H15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Y14" i="5"/>
  <c r="AN14" i="5" s="1"/>
  <c r="Y14" i="5" a="1"/>
  <c r="H14" i="5" a="1"/>
  <c r="H14" i="5" s="1"/>
  <c r="G14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Y13" i="5"/>
  <c r="AN13" i="5" s="1"/>
  <c r="Y13" i="5" a="1"/>
  <c r="H13" i="5" a="1"/>
  <c r="H13" i="5" s="1"/>
  <c r="G13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Y12" i="5"/>
  <c r="AN12" i="5" s="1"/>
  <c r="Y12" i="5" a="1"/>
  <c r="H12" i="5" a="1"/>
  <c r="H12" i="5" s="1"/>
  <c r="G12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Y11" i="5"/>
  <c r="AN11" i="5" s="1"/>
  <c r="Y11" i="5" a="1"/>
  <c r="H11" i="5" a="1"/>
  <c r="H11" i="5" s="1"/>
  <c r="G11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L10" i="5"/>
  <c r="AK10" i="5"/>
  <c r="AJ10" i="5"/>
  <c r="AI10" i="5"/>
  <c r="AH10" i="5"/>
  <c r="AF10" i="5"/>
  <c r="AE10" i="5"/>
  <c r="AD10" i="5"/>
  <c r="AC10" i="5"/>
  <c r="AB10" i="5"/>
  <c r="AA10" i="5"/>
  <c r="Y10" i="5" a="1"/>
  <c r="Y10" i="5" s="1"/>
  <c r="AN10" i="5" s="1"/>
  <c r="H10" i="5" a="1"/>
  <c r="H10" i="5" s="1"/>
  <c r="G10" i="5"/>
  <c r="BO9" i="5"/>
  <c r="BN9" i="5"/>
  <c r="BM9" i="5"/>
  <c r="BL9" i="5"/>
  <c r="BK9" i="5"/>
  <c r="BJ9" i="5"/>
  <c r="BI9" i="5"/>
  <c r="BH9" i="5"/>
  <c r="BG9" i="5"/>
  <c r="BF9" i="5"/>
  <c r="BE9" i="5"/>
  <c r="BD9" i="5"/>
  <c r="BA9" i="5"/>
  <c r="AZ9" i="5"/>
  <c r="AY9" i="5"/>
  <c r="AX9" i="5"/>
  <c r="AW9" i="5"/>
  <c r="AV9" i="5"/>
  <c r="AU9" i="5"/>
  <c r="AT9" i="5"/>
  <c r="AS9" i="5"/>
  <c r="AR9" i="5"/>
  <c r="AQ9" i="5"/>
  <c r="AP9" i="5"/>
  <c r="AL9" i="5"/>
  <c r="AK9" i="5"/>
  <c r="AJ9" i="5"/>
  <c r="AH9" i="5"/>
  <c r="AG9" i="5"/>
  <c r="AF9" i="5"/>
  <c r="AE9" i="5"/>
  <c r="AD9" i="5"/>
  <c r="AC9" i="5"/>
  <c r="AB9" i="5"/>
  <c r="AA9" i="5"/>
  <c r="Y9" i="5" a="1"/>
  <c r="Y9" i="5" s="1"/>
  <c r="S9" i="5"/>
  <c r="S25" i="5" s="1"/>
  <c r="R9" i="5"/>
  <c r="K9" i="5"/>
  <c r="K25" i="5" s="1"/>
  <c r="K31" i="5" s="1"/>
  <c r="G9" i="5"/>
  <c r="G25" i="5" s="1"/>
  <c r="G31" i="5" s="1"/>
  <c r="C9" i="5"/>
  <c r="C25" i="5" s="1"/>
  <c r="C31" i="5" s="1"/>
  <c r="H8" i="5"/>
  <c r="I14" i="5" l="1"/>
  <c r="I36" i="5"/>
  <c r="H92" i="5"/>
  <c r="H97" i="5"/>
  <c r="O129" i="5"/>
  <c r="S129" i="5"/>
  <c r="W129" i="5"/>
  <c r="H88" i="5"/>
  <c r="H93" i="5"/>
  <c r="H98" i="5"/>
  <c r="P129" i="5"/>
  <c r="T132" i="5"/>
  <c r="T129" i="5"/>
  <c r="AH101" i="5"/>
  <c r="H89" i="5"/>
  <c r="H94" i="5"/>
  <c r="AC101" i="5"/>
  <c r="AG101" i="5"/>
  <c r="Q129" i="5"/>
  <c r="H52" i="5"/>
  <c r="AH25" i="5"/>
  <c r="S31" i="5"/>
  <c r="AH31" i="5" s="1"/>
  <c r="AI25" i="5"/>
  <c r="BC60" i="5"/>
  <c r="AN60" i="5"/>
  <c r="BC36" i="5"/>
  <c r="BC35" i="5"/>
  <c r="I35" i="5" s="1"/>
  <c r="BC34" i="5"/>
  <c r="I34" i="5" s="1"/>
  <c r="BC9" i="5"/>
  <c r="BC13" i="5"/>
  <c r="I13" i="5" s="1"/>
  <c r="BC12" i="5"/>
  <c r="I12" i="5" s="1"/>
  <c r="BC11" i="5"/>
  <c r="I11" i="5" s="1"/>
  <c r="BC10" i="5"/>
  <c r="AN9" i="5"/>
  <c r="AN20" i="5"/>
  <c r="BC20" i="5"/>
  <c r="AD52" i="5"/>
  <c r="AE52" i="5"/>
  <c r="H42" i="5"/>
  <c r="H48" i="5" s="1"/>
  <c r="H47" i="5"/>
  <c r="I10" i="5"/>
  <c r="H29" i="5"/>
  <c r="AG31" i="5"/>
  <c r="Y47" i="5" a="1"/>
  <c r="Y47" i="5" s="1"/>
  <c r="BC47" i="5" s="1"/>
  <c r="S52" i="5"/>
  <c r="AH52" i="5" s="1"/>
  <c r="AB57" i="5"/>
  <c r="M62" i="5"/>
  <c r="Y29" i="5" a="1"/>
  <c r="Y29" i="5" s="1"/>
  <c r="AN29" i="5" s="1"/>
  <c r="AN42" i="5"/>
  <c r="AN46" i="5"/>
  <c r="AN47" i="5" s="1"/>
  <c r="AB47" i="5"/>
  <c r="AF47" i="5"/>
  <c r="R48" i="5"/>
  <c r="AC50" i="5"/>
  <c r="H9" i="5" a="1"/>
  <c r="H9" i="5" s="1"/>
  <c r="AI9" i="5"/>
  <c r="BC19" i="5"/>
  <c r="I19" i="5" s="1"/>
  <c r="AB25" i="5"/>
  <c r="AF25" i="5"/>
  <c r="AJ25" i="5"/>
  <c r="BC27" i="5"/>
  <c r="I27" i="5" s="1"/>
  <c r="AB52" i="5"/>
  <c r="AQ52" i="5" s="1"/>
  <c r="BE52" i="5" s="1"/>
  <c r="AD29" i="5"/>
  <c r="Y41" i="5" a="1"/>
  <c r="Y41" i="5" s="1"/>
  <c r="O57" i="5"/>
  <c r="O48" i="5"/>
  <c r="AD42" i="5"/>
  <c r="S57" i="5"/>
  <c r="AH42" i="5"/>
  <c r="S48" i="5"/>
  <c r="W57" i="5"/>
  <c r="AL42" i="5"/>
  <c r="AC47" i="5"/>
  <c r="K48" i="5"/>
  <c r="K54" i="5" s="1"/>
  <c r="V54" i="5"/>
  <c r="AK54" i="5" s="1"/>
  <c r="AK48" i="5"/>
  <c r="G51" i="5"/>
  <c r="AC51" i="5"/>
  <c r="AG51" i="5"/>
  <c r="R57" i="5"/>
  <c r="P48" i="5"/>
  <c r="H60" i="5" a="1"/>
  <c r="H60" i="5" s="1"/>
  <c r="L85" i="5"/>
  <c r="AA60" i="5"/>
  <c r="G60" i="5"/>
  <c r="G85" i="5" s="1"/>
  <c r="P85" i="5"/>
  <c r="AE85" i="5" s="1"/>
  <c r="AE60" i="5"/>
  <c r="T85" i="5"/>
  <c r="AI85" i="5" s="1"/>
  <c r="AI60" i="5"/>
  <c r="BC68" i="5"/>
  <c r="AN68" i="5"/>
  <c r="I68" i="5" s="1"/>
  <c r="Y83" i="5" a="1"/>
  <c r="Y83" i="5" s="1"/>
  <c r="H83" i="5" s="1"/>
  <c r="AE83" i="5"/>
  <c r="T52" i="5"/>
  <c r="AI52" i="5" s="1"/>
  <c r="AI29" i="5"/>
  <c r="AL29" i="5"/>
  <c r="N31" i="5"/>
  <c r="AC31" i="5" s="1"/>
  <c r="N57" i="5"/>
  <c r="G57" i="5" s="1"/>
  <c r="G62" i="5" s="1"/>
  <c r="N48" i="5"/>
  <c r="AC42" i="5"/>
  <c r="AX47" i="5"/>
  <c r="AT47" i="5"/>
  <c r="AP47" i="5"/>
  <c r="BA47" i="5"/>
  <c r="AV47" i="5"/>
  <c r="AQ47" i="5"/>
  <c r="E48" i="5"/>
  <c r="AZ47" i="5"/>
  <c r="AU47" i="5"/>
  <c r="AJ47" i="5"/>
  <c r="AS47" i="5"/>
  <c r="AB51" i="5"/>
  <c r="AQ51" i="5" s="1"/>
  <c r="BE51" i="5" s="1"/>
  <c r="E31" i="5"/>
  <c r="L31" i="5"/>
  <c r="P31" i="5"/>
  <c r="AE31" i="5" s="1"/>
  <c r="T31" i="5"/>
  <c r="AI31" i="5" s="1"/>
  <c r="Y25" i="5" a="1"/>
  <c r="Y25" i="5" s="1"/>
  <c r="AK25" i="5"/>
  <c r="AG52" i="5"/>
  <c r="AA29" i="5"/>
  <c r="AE29" i="5"/>
  <c r="G42" i="5"/>
  <c r="G48" i="5" s="1"/>
  <c r="G41" i="5"/>
  <c r="AJ41" i="5"/>
  <c r="Y42" i="5" a="1"/>
  <c r="Y42" i="5" s="1"/>
  <c r="P62" i="5"/>
  <c r="AE57" i="5"/>
  <c r="T48" i="5"/>
  <c r="AI42" i="5"/>
  <c r="BC45" i="5"/>
  <c r="I45" i="5" s="1"/>
  <c r="AY47" i="5"/>
  <c r="L48" i="5"/>
  <c r="AL48" i="5"/>
  <c r="W54" i="5"/>
  <c r="AL54" i="5" s="1"/>
  <c r="G50" i="5"/>
  <c r="G52" i="5" s="1"/>
  <c r="AA50" i="5"/>
  <c r="Y50" i="5" a="1"/>
  <c r="Y50" i="5" s="1"/>
  <c r="AH51" i="5"/>
  <c r="AA52" i="5"/>
  <c r="L62" i="5"/>
  <c r="AA57" i="5"/>
  <c r="V57" i="5"/>
  <c r="BC58" i="5"/>
  <c r="I69" i="5"/>
  <c r="H76" i="5"/>
  <c r="AG50" i="5"/>
  <c r="AD51" i="5"/>
  <c r="T57" i="5"/>
  <c r="BC69" i="5"/>
  <c r="AN69" i="5"/>
  <c r="AH76" i="5"/>
  <c r="AG76" i="5"/>
  <c r="AK76" i="5"/>
  <c r="Y82" i="5" a="1"/>
  <c r="Y82" i="5" s="1"/>
  <c r="R85" i="5"/>
  <c r="AG85" i="5" s="1"/>
  <c r="AB112" i="5"/>
  <c r="M127" i="5"/>
  <c r="M129" i="5" s="1"/>
  <c r="Y112" i="5" a="1"/>
  <c r="Y112" i="5" s="1"/>
  <c r="H112" i="5" a="1"/>
  <c r="H112" i="5" s="1"/>
  <c r="AC112" i="5"/>
  <c r="M48" i="5"/>
  <c r="Q48" i="5"/>
  <c r="U48" i="5"/>
  <c r="Y51" i="5" a="1"/>
  <c r="Y51" i="5" s="1"/>
  <c r="U57" i="5"/>
  <c r="AD85" i="5"/>
  <c r="AH85" i="5"/>
  <c r="AG60" i="5"/>
  <c r="H100" i="5"/>
  <c r="AB85" i="5"/>
  <c r="AF85" i="5"/>
  <c r="AJ85" i="5"/>
  <c r="I67" i="5"/>
  <c r="Y76" i="5" a="1"/>
  <c r="Y76" i="5" s="1"/>
  <c r="AB82" i="5"/>
  <c r="AQ82" i="5" s="1"/>
  <c r="BE82" i="5" s="1"/>
  <c r="AF82" i="5"/>
  <c r="AJ82" i="5"/>
  <c r="O132" i="5"/>
  <c r="H101" i="5" a="1"/>
  <c r="H101" i="5" s="1"/>
  <c r="Y101" i="5" a="1"/>
  <c r="Y101" i="5" s="1"/>
  <c r="P132" i="5"/>
  <c r="AI73" i="5"/>
  <c r="Y73" i="5" a="1"/>
  <c r="Y73" i="5" s="1"/>
  <c r="G73" i="5"/>
  <c r="AB76" i="5"/>
  <c r="AQ76" i="5" s="1"/>
  <c r="BE76" i="5" s="1"/>
  <c r="AF76" i="5"/>
  <c r="AJ76" i="5"/>
  <c r="H77" i="5"/>
  <c r="H87" i="5"/>
  <c r="H91" i="5"/>
  <c r="H95" i="5"/>
  <c r="H99" i="5"/>
  <c r="AE101" i="5"/>
  <c r="AI101" i="5"/>
  <c r="AD101" i="5"/>
  <c r="AB60" i="5"/>
  <c r="AF60" i="5"/>
  <c r="AJ60" i="5"/>
  <c r="U129" i="5"/>
  <c r="M132" i="5"/>
  <c r="Q132" i="5"/>
  <c r="N132" i="5"/>
  <c r="R132" i="5"/>
  <c r="V132" i="5"/>
  <c r="H54" i="5" l="1"/>
  <c r="G54" i="5"/>
  <c r="I20" i="5"/>
  <c r="AN25" i="5"/>
  <c r="AN31" i="5" s="1"/>
  <c r="I9" i="5"/>
  <c r="I60" i="5"/>
  <c r="BC101" i="5"/>
  <c r="AN101" i="5"/>
  <c r="U54" i="5"/>
  <c r="AJ48" i="5"/>
  <c r="BC50" i="5"/>
  <c r="AN50" i="5"/>
  <c r="AY31" i="5"/>
  <c r="AU31" i="5"/>
  <c r="AQ31" i="5"/>
  <c r="AZ31" i="5"/>
  <c r="AT31" i="5"/>
  <c r="AW31" i="5"/>
  <c r="AR31" i="5"/>
  <c r="BA31" i="5"/>
  <c r="AV31" i="5"/>
  <c r="AP31" i="5"/>
  <c r="AX31" i="5"/>
  <c r="AS31" i="5"/>
  <c r="Y52" i="5" a="1"/>
  <c r="Y52" i="5" s="1"/>
  <c r="P54" i="5"/>
  <c r="AE48" i="5"/>
  <c r="R62" i="5"/>
  <c r="AG62" i="5" s="1"/>
  <c r="AG57" i="5"/>
  <c r="O62" i="5"/>
  <c r="AD62" i="5" s="1"/>
  <c r="AD57" i="5"/>
  <c r="R54" i="5"/>
  <c r="AG48" i="5"/>
  <c r="AN48" i="5"/>
  <c r="AJ52" i="5"/>
  <c r="N62" i="5"/>
  <c r="AC62" i="5" s="1"/>
  <c r="AC57" i="5"/>
  <c r="Y57" i="5" a="1"/>
  <c r="Y57" i="5" s="1"/>
  <c r="Q54" i="5"/>
  <c r="AF54" i="5" s="1"/>
  <c r="AF48" i="5"/>
  <c r="BC112" i="5"/>
  <c r="AN112" i="5"/>
  <c r="AA62" i="5"/>
  <c r="L54" i="5"/>
  <c r="AA48" i="5"/>
  <c r="Y48" i="5" a="1"/>
  <c r="Y48" i="5" s="1"/>
  <c r="AI48" i="5"/>
  <c r="T54" i="5"/>
  <c r="H85" i="5" a="1"/>
  <c r="H85" i="5" s="1"/>
  <c r="Y85" i="5" a="1"/>
  <c r="Y85" i="5" s="1"/>
  <c r="AA85" i="5"/>
  <c r="H57" i="5" a="1"/>
  <c r="H57" i="5" s="1"/>
  <c r="S62" i="5"/>
  <c r="AH62" i="5" s="1"/>
  <c r="AH57" i="5"/>
  <c r="AN41" i="5"/>
  <c r="I41" i="5" s="1"/>
  <c r="BC41" i="5"/>
  <c r="AF31" i="5"/>
  <c r="AJ31" i="5"/>
  <c r="T62" i="5"/>
  <c r="AI57" i="5"/>
  <c r="Y31" i="5" a="1"/>
  <c r="Y31" i="5" s="1"/>
  <c r="AA31" i="5"/>
  <c r="AH48" i="5"/>
  <c r="S54" i="5"/>
  <c r="AH54" i="5" s="1"/>
  <c r="AD48" i="5"/>
  <c r="O54" i="5"/>
  <c r="AJ57" i="5"/>
  <c r="U62" i="5"/>
  <c r="AJ62" i="5" s="1"/>
  <c r="AB48" i="5"/>
  <c r="M54" i="5"/>
  <c r="AB54" i="5" s="1"/>
  <c r="AQ54" i="5" s="1"/>
  <c r="BE54" i="5" s="1"/>
  <c r="V62" i="5"/>
  <c r="AK62" i="5" s="1"/>
  <c r="AK57" i="5"/>
  <c r="AX58" i="5"/>
  <c r="AT58" i="5"/>
  <c r="AP58" i="5"/>
  <c r="BA58" i="5"/>
  <c r="AV58" i="5"/>
  <c r="AQ58" i="5"/>
  <c r="AZ48" i="5"/>
  <c r="AV48" i="5"/>
  <c r="AR48" i="5"/>
  <c r="AW58" i="5"/>
  <c r="AX48" i="5"/>
  <c r="AS48" i="5"/>
  <c r="AU58" i="5"/>
  <c r="AW48" i="5"/>
  <c r="AQ48" i="5"/>
  <c r="AZ58" i="5"/>
  <c r="AU48" i="5"/>
  <c r="BA48" i="5"/>
  <c r="AR58" i="5"/>
  <c r="AY48" i="5"/>
  <c r="AY58" i="5"/>
  <c r="AN58" i="5" s="1"/>
  <c r="I58" i="5" s="1"/>
  <c r="AT48" i="5"/>
  <c r="AS58" i="5"/>
  <c r="AP48" i="5"/>
  <c r="E54" i="5"/>
  <c r="N54" i="5"/>
  <c r="AC54" i="5" s="1"/>
  <c r="AC48" i="5"/>
  <c r="AF62" i="5"/>
  <c r="AL57" i="5"/>
  <c r="W62" i="5"/>
  <c r="AL62" i="5" s="1"/>
  <c r="AB62" i="5"/>
  <c r="AQ62" i="5" s="1"/>
  <c r="BE62" i="5" s="1"/>
  <c r="AB31" i="5"/>
  <c r="AD31" i="5"/>
  <c r="H25" i="5"/>
  <c r="H31" i="5" s="1"/>
  <c r="H62" i="5" l="1"/>
  <c r="AI54" i="5"/>
  <c r="AA54" i="5"/>
  <c r="Y54" i="5" a="1"/>
  <c r="Y54" i="5" s="1"/>
  <c r="AJ54" i="5"/>
  <c r="AI62" i="5"/>
  <c r="Y62" i="5" a="1"/>
  <c r="Y62" i="5" s="1"/>
  <c r="AG54" i="5"/>
  <c r="AN52" i="5"/>
  <c r="AN54" i="5" s="1"/>
  <c r="I50" i="5"/>
  <c r="AE62" i="5"/>
  <c r="AD54" i="5"/>
  <c r="BC57" i="5"/>
  <c r="AN57" i="5"/>
  <c r="AN62" i="5" s="1"/>
  <c r="AE54" i="5"/>
  <c r="I57" i="5" l="1"/>
  <c r="J58" i="2" l="1"/>
  <c r="I58" i="2"/>
  <c r="S58" i="2"/>
  <c r="K58" i="2"/>
  <c r="L58" i="2"/>
  <c r="M58" i="2"/>
  <c r="N58" i="2"/>
  <c r="O58" i="2"/>
  <c r="P58" i="2"/>
  <c r="Q58" i="2"/>
  <c r="R58" i="2"/>
  <c r="I24" i="2" l="1"/>
  <c r="J24" i="2"/>
  <c r="K24" i="2"/>
  <c r="L24" i="2"/>
  <c r="M24" i="2"/>
  <c r="N24" i="2"/>
  <c r="S24" i="2"/>
  <c r="B24" i="2" l="1"/>
  <c r="E8" i="2" l="1"/>
  <c r="T40" i="2" l="1"/>
  <c r="T103" i="2"/>
  <c r="T30" i="2"/>
  <c r="T9" i="2"/>
  <c r="T125" i="2" l="1"/>
  <c r="R24" i="2" l="1"/>
  <c r="R19" i="2"/>
  <c r="R18" i="2"/>
  <c r="R30" i="2"/>
  <c r="Q30" i="2"/>
  <c r="R117" i="2"/>
  <c r="R118" i="2"/>
  <c r="R119" i="2"/>
  <c r="R120" i="2"/>
  <c r="T120" i="2" s="1"/>
  <c r="R121" i="2"/>
  <c r="R122" i="2"/>
  <c r="R123" i="2"/>
  <c r="R124" i="2"/>
  <c r="T124" i="2" s="1"/>
  <c r="R125" i="2"/>
  <c r="R116" i="2"/>
  <c r="R114" i="2"/>
  <c r="R113" i="2"/>
  <c r="R112" i="2"/>
  <c r="R111" i="2"/>
  <c r="T111" i="2" s="1"/>
  <c r="R107" i="2"/>
  <c r="R108" i="2"/>
  <c r="R109" i="2"/>
  <c r="R106" i="2"/>
  <c r="R103" i="2"/>
  <c r="R102" i="2"/>
  <c r="T102" i="2" s="1"/>
  <c r="R81" i="2"/>
  <c r="R80" i="2"/>
  <c r="R79" i="2"/>
  <c r="R75" i="2"/>
  <c r="R74" i="2"/>
  <c r="R72" i="2"/>
  <c r="R71" i="2"/>
  <c r="R70" i="2"/>
  <c r="T70" i="2" s="1"/>
  <c r="R67" i="2"/>
  <c r="R68" i="2"/>
  <c r="R66" i="2"/>
  <c r="R60" i="2"/>
  <c r="R59" i="2"/>
  <c r="R57" i="2"/>
  <c r="R56" i="2"/>
  <c r="R45" i="2"/>
  <c r="R44" i="2"/>
  <c r="R41" i="2"/>
  <c r="R40" i="2"/>
  <c r="R39" i="2"/>
  <c r="R38" i="2"/>
  <c r="R34" i="2"/>
  <c r="R35" i="2"/>
  <c r="R33" i="2"/>
  <c r="T33" i="2" s="1"/>
  <c r="T27" i="2"/>
  <c r="R26" i="2"/>
  <c r="R23" i="2"/>
  <c r="T19" i="2"/>
  <c r="R9" i="2"/>
  <c r="R10" i="2"/>
  <c r="R11" i="2"/>
  <c r="R12" i="2"/>
  <c r="T12" i="2" s="1"/>
  <c r="R13" i="2"/>
  <c r="R8" i="2"/>
  <c r="T10" i="2"/>
  <c r="T11" i="2"/>
  <c r="T13" i="2"/>
  <c r="T14" i="2"/>
  <c r="T15" i="2"/>
  <c r="T16" i="2"/>
  <c r="T17" i="2"/>
  <c r="T18" i="2"/>
  <c r="T20" i="2"/>
  <c r="T21" i="2"/>
  <c r="T22" i="2"/>
  <c r="T25" i="2"/>
  <c r="T26" i="2"/>
  <c r="T29" i="2"/>
  <c r="T31" i="2"/>
  <c r="T32" i="2"/>
  <c r="T34" i="2"/>
  <c r="T35" i="2"/>
  <c r="T36" i="2"/>
  <c r="T37" i="2"/>
  <c r="T38" i="2"/>
  <c r="T39" i="2"/>
  <c r="T42" i="2"/>
  <c r="T43" i="2"/>
  <c r="T44" i="2"/>
  <c r="T45" i="2"/>
  <c r="T48" i="2"/>
  <c r="T50" i="2"/>
  <c r="T52" i="2"/>
  <c r="T54" i="2"/>
  <c r="T55" i="2"/>
  <c r="T56" i="2"/>
  <c r="T57" i="2"/>
  <c r="T58" i="2"/>
  <c r="T59" i="2"/>
  <c r="T60" i="2"/>
  <c r="T62" i="2"/>
  <c r="T63" i="2"/>
  <c r="T64" i="2"/>
  <c r="T65" i="2"/>
  <c r="T66" i="2"/>
  <c r="T67" i="2"/>
  <c r="T68" i="2"/>
  <c r="T69" i="2"/>
  <c r="T71" i="2"/>
  <c r="T72" i="2"/>
  <c r="T73" i="2"/>
  <c r="T74" i="2"/>
  <c r="T76" i="2"/>
  <c r="T77" i="2"/>
  <c r="T78" i="2"/>
  <c r="T79" i="2"/>
  <c r="T80" i="2"/>
  <c r="T82" i="2"/>
  <c r="T83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1" i="2"/>
  <c r="T104" i="2"/>
  <c r="T105" i="2"/>
  <c r="T106" i="2"/>
  <c r="T107" i="2"/>
  <c r="T108" i="2"/>
  <c r="T109" i="2"/>
  <c r="T110" i="2"/>
  <c r="T112" i="2"/>
  <c r="T113" i="2"/>
  <c r="T114" i="2"/>
  <c r="T115" i="2"/>
  <c r="T116" i="2"/>
  <c r="T117" i="2"/>
  <c r="T118" i="2"/>
  <c r="T119" i="2"/>
  <c r="T121" i="2"/>
  <c r="T122" i="2"/>
  <c r="T123" i="2"/>
  <c r="T8" i="2"/>
  <c r="F125" i="2" l="1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P111" i="2"/>
  <c r="P137" i="2" s="1"/>
  <c r="O111" i="2"/>
  <c r="N111" i="2"/>
  <c r="M111" i="2"/>
  <c r="L111" i="2"/>
  <c r="K111" i="2"/>
  <c r="F111" i="2" s="1"/>
  <c r="J111" i="2"/>
  <c r="I111" i="2"/>
  <c r="C111" i="2"/>
  <c r="B111" i="2"/>
  <c r="F110" i="2"/>
  <c r="F109" i="2"/>
  <c r="F108" i="2"/>
  <c r="F107" i="2"/>
  <c r="F106" i="2"/>
  <c r="F105" i="2"/>
  <c r="F104" i="2"/>
  <c r="F103" i="2"/>
  <c r="F102" i="2"/>
  <c r="F101" i="2"/>
  <c r="S100" i="2"/>
  <c r="R100" i="2"/>
  <c r="T100" i="2" s="1"/>
  <c r="Q100" i="2"/>
  <c r="P100" i="2"/>
  <c r="O100" i="2"/>
  <c r="N100" i="2"/>
  <c r="M100" i="2"/>
  <c r="L100" i="2"/>
  <c r="K100" i="2"/>
  <c r="J100" i="2"/>
  <c r="I100" i="2"/>
  <c r="C100" i="2"/>
  <c r="B100" i="2"/>
  <c r="F99" i="2"/>
  <c r="F98" i="2"/>
  <c r="C98" i="2" a="1"/>
  <c r="C98" i="2" s="1"/>
  <c r="F97" i="2"/>
  <c r="F96" i="2"/>
  <c r="C96" i="2" a="1"/>
  <c r="C96" i="2" s="1"/>
  <c r="F95" i="2"/>
  <c r="F94" i="2"/>
  <c r="C94" i="2" a="1"/>
  <c r="C94" i="2" s="1"/>
  <c r="F93" i="2"/>
  <c r="F92" i="2"/>
  <c r="C92" i="2" a="1"/>
  <c r="C92" i="2" s="1"/>
  <c r="F91" i="2"/>
  <c r="F90" i="2"/>
  <c r="C90" i="2" a="1"/>
  <c r="C90" i="2" s="1"/>
  <c r="F89" i="2"/>
  <c r="F88" i="2"/>
  <c r="C88" i="2"/>
  <c r="F87" i="2"/>
  <c r="F86" i="2"/>
  <c r="F85" i="2"/>
  <c r="S84" i="2"/>
  <c r="R84" i="2"/>
  <c r="T84" i="2" s="1"/>
  <c r="Q84" i="2"/>
  <c r="P84" i="2"/>
  <c r="O84" i="2"/>
  <c r="N84" i="2"/>
  <c r="M84" i="2"/>
  <c r="L84" i="2"/>
  <c r="K84" i="2"/>
  <c r="J84" i="2"/>
  <c r="I84" i="2"/>
  <c r="E84" i="2"/>
  <c r="C84" i="2"/>
  <c r="F83" i="2"/>
  <c r="F82" i="2"/>
  <c r="S81" i="2"/>
  <c r="T81" i="2"/>
  <c r="Q81" i="2"/>
  <c r="P81" i="2"/>
  <c r="O81" i="2"/>
  <c r="N81" i="2"/>
  <c r="M81" i="2"/>
  <c r="L81" i="2"/>
  <c r="K81" i="2"/>
  <c r="F81" i="2" s="1"/>
  <c r="J81" i="2"/>
  <c r="I81" i="2"/>
  <c r="E81" i="2"/>
  <c r="D81" i="2"/>
  <c r="C81" i="2"/>
  <c r="B81" i="2"/>
  <c r="F80" i="2"/>
  <c r="E80" i="2"/>
  <c r="F79" i="2"/>
  <c r="E79" i="2"/>
  <c r="F78" i="2"/>
  <c r="F77" i="2"/>
  <c r="F76" i="2"/>
  <c r="S75" i="2"/>
  <c r="T75" i="2"/>
  <c r="Q75" i="2"/>
  <c r="P75" i="2"/>
  <c r="O75" i="2"/>
  <c r="N75" i="2"/>
  <c r="M75" i="2"/>
  <c r="L75" i="2"/>
  <c r="K75" i="2"/>
  <c r="J75" i="2"/>
  <c r="I75" i="2"/>
  <c r="F75" i="2" s="1"/>
  <c r="D75" i="2"/>
  <c r="C75" i="2"/>
  <c r="B75" i="2"/>
  <c r="F74" i="2"/>
  <c r="F73" i="2"/>
  <c r="F72" i="2"/>
  <c r="F71" i="2"/>
  <c r="F70" i="2"/>
  <c r="F69" i="2"/>
  <c r="F68" i="2"/>
  <c r="E68" i="2"/>
  <c r="F67" i="2"/>
  <c r="E67" i="2"/>
  <c r="F66" i="2"/>
  <c r="E66" i="2"/>
  <c r="E75" i="2" s="1"/>
  <c r="F65" i="2"/>
  <c r="F64" i="2"/>
  <c r="F63" i="2"/>
  <c r="F62" i="2"/>
  <c r="R61" i="2"/>
  <c r="T61" i="2" s="1"/>
  <c r="Q61" i="2"/>
  <c r="P61" i="2"/>
  <c r="O61" i="2"/>
  <c r="N61" i="2"/>
  <c r="M61" i="2"/>
  <c r="L61" i="2"/>
  <c r="K61" i="2"/>
  <c r="J61" i="2"/>
  <c r="I61" i="2"/>
  <c r="D61" i="2"/>
  <c r="C61" i="2"/>
  <c r="B61" i="2"/>
  <c r="F60" i="2"/>
  <c r="F59" i="2"/>
  <c r="E59" i="2"/>
  <c r="F58" i="2"/>
  <c r="F57" i="2"/>
  <c r="E57" i="2"/>
  <c r="E56" i="2"/>
  <c r="E61" i="2" s="1"/>
  <c r="F55" i="2"/>
  <c r="F54" i="2"/>
  <c r="C53" i="2"/>
  <c r="F52" i="2"/>
  <c r="P51" i="2"/>
  <c r="N51" i="2"/>
  <c r="L51" i="2"/>
  <c r="J51" i="2"/>
  <c r="D51" i="2"/>
  <c r="C51" i="2"/>
  <c r="B51" i="2"/>
  <c r="F50" i="2"/>
  <c r="E50" i="2"/>
  <c r="S49" i="2"/>
  <c r="S51" i="2" s="1"/>
  <c r="R49" i="2"/>
  <c r="T49" i="2" s="1"/>
  <c r="Q49" i="2"/>
  <c r="Q51" i="2" s="1"/>
  <c r="Q53" i="2" s="1"/>
  <c r="P49" i="2"/>
  <c r="O49" i="2"/>
  <c r="O51" i="2" s="1"/>
  <c r="N49" i="2"/>
  <c r="M49" i="2"/>
  <c r="M51" i="2" s="1"/>
  <c r="M53" i="2" s="1"/>
  <c r="L49" i="2"/>
  <c r="K49" i="2"/>
  <c r="K51" i="2" s="1"/>
  <c r="J49" i="2"/>
  <c r="I49" i="2"/>
  <c r="I51" i="2" s="1"/>
  <c r="E49" i="2"/>
  <c r="E51" i="2" s="1"/>
  <c r="F48" i="2"/>
  <c r="S47" i="2"/>
  <c r="Q47" i="2"/>
  <c r="O47" i="2"/>
  <c r="M47" i="2"/>
  <c r="K47" i="2"/>
  <c r="C47" i="2"/>
  <c r="S46" i="2"/>
  <c r="R46" i="2"/>
  <c r="T46" i="2" s="1"/>
  <c r="Q46" i="2"/>
  <c r="P46" i="2"/>
  <c r="O46" i="2"/>
  <c r="N46" i="2"/>
  <c r="M46" i="2"/>
  <c r="L46" i="2"/>
  <c r="K46" i="2"/>
  <c r="J46" i="2"/>
  <c r="D46" i="2"/>
  <c r="C46" i="2"/>
  <c r="B46" i="2"/>
  <c r="I45" i="2"/>
  <c r="F45" i="2" s="1"/>
  <c r="E45" i="2"/>
  <c r="F44" i="2"/>
  <c r="E44" i="2"/>
  <c r="E46" i="2" s="1"/>
  <c r="F43" i="2"/>
  <c r="F42" i="2"/>
  <c r="S41" i="2"/>
  <c r="S56" i="2" s="1"/>
  <c r="Q41" i="2"/>
  <c r="P41" i="2"/>
  <c r="P47" i="2" s="1"/>
  <c r="O41" i="2"/>
  <c r="N41" i="2"/>
  <c r="N47" i="2" s="1"/>
  <c r="N53" i="2" s="1"/>
  <c r="M41" i="2"/>
  <c r="L41" i="2"/>
  <c r="L47" i="2" s="1"/>
  <c r="L53" i="2" s="1"/>
  <c r="K41" i="2"/>
  <c r="J41" i="2"/>
  <c r="J47" i="2" s="1"/>
  <c r="J53" i="2" s="1"/>
  <c r="I41" i="2"/>
  <c r="D41" i="2"/>
  <c r="D47" i="2" s="1"/>
  <c r="D53" i="2" s="1"/>
  <c r="C41" i="2"/>
  <c r="B41" i="2"/>
  <c r="B47" i="2" s="1"/>
  <c r="B53" i="2" s="1"/>
  <c r="F40" i="2"/>
  <c r="F39" i="2"/>
  <c r="F38" i="2"/>
  <c r="F37" i="2"/>
  <c r="F36" i="2"/>
  <c r="F35" i="2"/>
  <c r="E35" i="2"/>
  <c r="F34" i="2"/>
  <c r="E34" i="2"/>
  <c r="F33" i="2"/>
  <c r="E33" i="2"/>
  <c r="E41" i="2" s="1"/>
  <c r="E47" i="2" s="1"/>
  <c r="F32" i="2"/>
  <c r="F31" i="2"/>
  <c r="F29" i="2"/>
  <c r="S28" i="2"/>
  <c r="R28" i="2"/>
  <c r="Q28" i="2"/>
  <c r="P28" i="2"/>
  <c r="O28" i="2"/>
  <c r="N28" i="2"/>
  <c r="M28" i="2"/>
  <c r="L28" i="2"/>
  <c r="K28" i="2"/>
  <c r="J28" i="2"/>
  <c r="I28" i="2"/>
  <c r="D28" i="2"/>
  <c r="B28" i="2"/>
  <c r="F27" i="2"/>
  <c r="E27" i="2"/>
  <c r="C27" i="2" a="1"/>
  <c r="C27" i="2" s="1"/>
  <c r="C28" i="2" s="1"/>
  <c r="F26" i="2"/>
  <c r="E26" i="2"/>
  <c r="F25" i="2"/>
  <c r="Q24" i="2"/>
  <c r="O24" i="2"/>
  <c r="O30" i="2" s="1"/>
  <c r="M30" i="2"/>
  <c r="D24" i="2"/>
  <c r="D30" i="2" s="1"/>
  <c r="C24" i="2"/>
  <c r="F22" i="2"/>
  <c r="F21" i="2"/>
  <c r="F20" i="2"/>
  <c r="F19" i="2"/>
  <c r="E19" i="2"/>
  <c r="F18" i="2"/>
  <c r="E18" i="2"/>
  <c r="F17" i="2"/>
  <c r="F16" i="2"/>
  <c r="E16" i="2"/>
  <c r="F15" i="2"/>
  <c r="F14" i="2"/>
  <c r="F13" i="2"/>
  <c r="E13" i="2"/>
  <c r="F12" i="2"/>
  <c r="E12" i="2"/>
  <c r="F11" i="2"/>
  <c r="E11" i="2"/>
  <c r="F10" i="2"/>
  <c r="E10" i="2"/>
  <c r="F9" i="2"/>
  <c r="E9" i="2"/>
  <c r="S8" i="2"/>
  <c r="P8" i="2"/>
  <c r="E24" i="2" s="1"/>
  <c r="O8" i="2"/>
  <c r="N8" i="2"/>
  <c r="N30" i="2" s="1"/>
  <c r="M8" i="2"/>
  <c r="L8" i="2"/>
  <c r="L30" i="2" s="1"/>
  <c r="K8" i="2"/>
  <c r="J8" i="2"/>
  <c r="J30" i="2" s="1"/>
  <c r="I8" i="2"/>
  <c r="F8" i="2"/>
  <c r="B8" i="2"/>
  <c r="B30" i="2" s="1"/>
  <c r="F7" i="2"/>
  <c r="F6" i="2"/>
  <c r="E28" i="2" l="1"/>
  <c r="E30" i="2" s="1"/>
  <c r="T28" i="2"/>
  <c r="I30" i="2"/>
  <c r="K30" i="2"/>
  <c r="S30" i="2"/>
  <c r="P53" i="2"/>
  <c r="F100" i="2"/>
  <c r="F84" i="2"/>
  <c r="R47" i="2"/>
  <c r="T47" i="2" s="1"/>
  <c r="T41" i="2"/>
  <c r="F41" i="2" s="1"/>
  <c r="F28" i="2"/>
  <c r="R51" i="2"/>
  <c r="T51" i="2" s="1"/>
  <c r="F51" i="2" s="1"/>
  <c r="R53" i="2"/>
  <c r="C30" i="2"/>
  <c r="E53" i="2"/>
  <c r="F56" i="2"/>
  <c r="S61" i="2"/>
  <c r="F61" i="2" s="1"/>
  <c r="O53" i="2"/>
  <c r="K53" i="2"/>
  <c r="S53" i="2"/>
  <c r="P24" i="2"/>
  <c r="P30" i="2" s="1"/>
  <c r="I46" i="2"/>
  <c r="F46" i="2" s="1"/>
  <c r="I47" i="2"/>
  <c r="F49" i="2"/>
  <c r="T53" i="2" l="1"/>
  <c r="I53" i="2"/>
  <c r="F53" i="2" s="1"/>
  <c r="F47" i="2"/>
  <c r="T23" i="2" l="1"/>
  <c r="F23" i="2" s="1"/>
  <c r="F30" i="2" l="1"/>
  <c r="T24" i="2"/>
  <c r="F24" i="2" s="1"/>
</calcChain>
</file>

<file path=xl/comments1.xml><?xml version="1.0" encoding="utf-8"?>
<comments xmlns="http://schemas.openxmlformats.org/spreadsheetml/2006/main">
  <authors>
    <author>Ly, David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Ly, David:
Should this be value be included? - As this is part of the "true voids" value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0 Value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0 value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Ly, David
0 value</t>
        </r>
      </text>
    </comment>
    <comment ref="S100" authorId="0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Rerun the figures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Figures do not sum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</rPr>
          <t>Ly, David:Housing has figure at 840</t>
        </r>
      </text>
    </comment>
  </commentList>
</comments>
</file>

<file path=xl/comments2.xml><?xml version="1.0" encoding="utf-8"?>
<comments xmlns="http://schemas.openxmlformats.org/spreadsheetml/2006/main">
  <authors>
    <author>Young, Sarah</author>
    <author>Ly, David</author>
  </authors>
  <commentList>
    <comment ref="A22" authorId="0" shapeId="0">
      <text>
        <r>
          <rPr>
            <b/>
            <sz val="9"/>
            <color indexed="81"/>
            <rFont val="Tahoma"/>
            <charset val="1"/>
          </rPr>
          <t>Young, Sarah:</t>
        </r>
        <r>
          <rPr>
            <sz val="9"/>
            <color indexed="81"/>
            <rFont val="Tahoma"/>
            <charset val="1"/>
          </rPr>
          <t xml:space="preserve">
Previously the Council New Build Programme which has now ceased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Run as at end of month
</t>
        </r>
      </text>
    </comment>
    <comment ref="A27" authorId="1" shapeId="0">
      <text>
        <r>
          <rPr>
            <b/>
            <sz val="9"/>
            <color indexed="81"/>
            <rFont val="Tahoma"/>
            <charset val="1"/>
          </rPr>
          <t>Ly, David:</t>
        </r>
        <r>
          <rPr>
            <sz val="9"/>
            <color indexed="81"/>
            <rFont val="Tahoma"/>
            <charset val="1"/>
          </rPr>
          <t xml:space="preserve">
Same as DDLA</t>
        </r>
      </text>
    </comment>
    <comment ref="A34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Allocated mainly to people with medical - e.g. wheelchair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need to confrim with leonard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homeless households perm rehoused- of which temp to perm
The level of permanent homeless allocations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same figures as above section- row 26
</t>
        </r>
      </text>
    </comment>
    <comment ref="A51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same as above section
row 27</t>
        </r>
      </text>
    </comment>
    <comment ref="A57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=Total new tenants rehoused
row 41</t>
        </r>
      </text>
    </comment>
    <comment ref="A60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row 57-row 45
</t>
        </r>
      </text>
    </comment>
    <comment ref="E67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Confrim targets with Leonard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reporting in courting  property type going to  (HA property), rather than  cohort who are in HA tenants going to ha property.</t>
        </r>
      </text>
    </comment>
    <comment ref="A85" authorId="1" shapeId="0">
      <text>
        <r>
          <rPr>
            <b/>
            <sz val="9"/>
            <color indexed="81"/>
            <rFont val="Tahoma"/>
            <family val="2"/>
          </rPr>
          <t>Ly, David:</t>
        </r>
        <r>
          <rPr>
            <sz val="9"/>
            <color indexed="81"/>
            <rFont val="Tahoma"/>
            <family val="2"/>
          </rPr>
          <t xml:space="preserve">
=row 59</t>
        </r>
      </text>
    </comment>
    <comment ref="K112" authorId="1" shapeId="0">
      <text>
        <r>
          <rPr>
            <b/>
            <sz val="9"/>
            <color indexed="81"/>
            <rFont val="Tahoma"/>
            <family val="2"/>
          </rPr>
          <t>Ly, David:Housing has figure at 840</t>
        </r>
      </text>
    </comment>
  </commentList>
</comments>
</file>

<file path=xl/sharedStrings.xml><?xml version="1.0" encoding="utf-8"?>
<sst xmlns="http://schemas.openxmlformats.org/spreadsheetml/2006/main" count="290" uniqueCount="168">
  <si>
    <t>Indicator Title</t>
  </si>
  <si>
    <t>2015-16</t>
  </si>
  <si>
    <t>2016-17 SUMMARY</t>
  </si>
  <si>
    <t>2016-17</t>
  </si>
  <si>
    <t>Reporting Month</t>
  </si>
  <si>
    <t>Outturn</t>
  </si>
  <si>
    <t>Target</t>
  </si>
  <si>
    <t>Projection</t>
  </si>
  <si>
    <t>16-17 YTD</t>
  </si>
  <si>
    <t>Monthly Trend</t>
  </si>
  <si>
    <t>December</t>
  </si>
  <si>
    <t>Supply</t>
  </si>
  <si>
    <t>Vacant At Beginning Of Financial Year:</t>
  </si>
  <si>
    <t>True voids:</t>
  </si>
  <si>
    <t xml:space="preserve">    Sheltered</t>
  </si>
  <si>
    <t xml:space="preserve">    1 Bedroom</t>
  </si>
  <si>
    <t xml:space="preserve">    2 Bedrooms</t>
  </si>
  <si>
    <t xml:space="preserve">    3 Bedrooms</t>
  </si>
  <si>
    <t xml:space="preserve">    4 Bedrooms+</t>
  </si>
  <si>
    <t>of which</t>
  </si>
  <si>
    <t xml:space="preserve">    Assisted Private Purchase</t>
  </si>
  <si>
    <t>Successful Nominations To Housing Association - Re-Lets</t>
  </si>
  <si>
    <t>Successful Nominations To Housing Association - New/ Acquired</t>
  </si>
  <si>
    <t>Council New Build</t>
  </si>
  <si>
    <t>Voids at end of period</t>
  </si>
  <si>
    <t>SUPPLY OF SOCIAL HOUSING DWELLINGS</t>
  </si>
  <si>
    <t>Homeless households discharged into Private Sector</t>
  </si>
  <si>
    <t>Care Leaver Prevention</t>
  </si>
  <si>
    <t>SUPPLY OF PRIVATE SECTOR DWELLINGS</t>
  </si>
  <si>
    <t xml:space="preserve">TOTAL SUPPLY OF DWELLINGS </t>
  </si>
  <si>
    <t>ALLOCATIONS</t>
  </si>
  <si>
    <t>Housing Register - waiting list applicants</t>
  </si>
  <si>
    <t>Band 1</t>
  </si>
  <si>
    <t>Band 2</t>
  </si>
  <si>
    <t>Band 3</t>
  </si>
  <si>
    <t>Of which</t>
  </si>
  <si>
    <t xml:space="preserve">  Families with children</t>
  </si>
  <si>
    <t xml:space="preserve">   Allocated Sheltered/ Special Sheltered      Housing</t>
  </si>
  <si>
    <t xml:space="preserve">  Special needs cases</t>
  </si>
  <si>
    <t>TOTAL NEW TENANTS RE-HOUSED</t>
  </si>
  <si>
    <t>Homeless households</t>
  </si>
  <si>
    <t xml:space="preserve">Households Admitted To LBC Temporary Accommodation </t>
  </si>
  <si>
    <t>Homeless households permanently rehoused (Excl. TA2Perm)</t>
  </si>
  <si>
    <t>TOTAL HOMELESS HOUSEHOLDS</t>
  </si>
  <si>
    <t>NUMBER OF NEW SOCIAL HOUSING LETS</t>
  </si>
  <si>
    <t>NUMBER OF PRIVATE SECTOR LETS</t>
  </si>
  <si>
    <t>TOTAL NUMBER OF LETS</t>
  </si>
  <si>
    <t>PERMANENT REHOUSING</t>
  </si>
  <si>
    <t>Number of households permanently rehoused</t>
  </si>
  <si>
    <t>Homeless households permanently rehoused</t>
  </si>
  <si>
    <t xml:space="preserve">  Of which, temporary to permanent conversions</t>
  </si>
  <si>
    <t>TOTAL HOUSEHOLDS PERMANENTLY REHOUSED</t>
  </si>
  <si>
    <t>MOVES NOT RESULTING IN A VOID</t>
  </si>
  <si>
    <t>Transfers</t>
  </si>
  <si>
    <t xml:space="preserve">   Of Which, Allocated Sheltered/ Special Sheltered Housing</t>
  </si>
  <si>
    <t>Underoccupied</t>
  </si>
  <si>
    <t>HA tenants</t>
  </si>
  <si>
    <t>TOTAL TRANSFERS</t>
  </si>
  <si>
    <t>Moves not resulting in a void</t>
  </si>
  <si>
    <t>Mutual Exchanges</t>
  </si>
  <si>
    <t>Moved through a mutual exchange</t>
  </si>
  <si>
    <t>of which were underoccupied</t>
  </si>
  <si>
    <t>TOTAL MUTUAL EXCHANGES</t>
  </si>
  <si>
    <t xml:space="preserve">Non secure tenants offered secure tenancies </t>
  </si>
  <si>
    <t>Homeless households rehoused from LBC temporary accommodation to permanent</t>
  </si>
  <si>
    <t>HOMELESS HOUSEHOLDS IN TEMPORARY ACCOMMODATION</t>
  </si>
  <si>
    <t>Actual</t>
  </si>
  <si>
    <t>during</t>
  </si>
  <si>
    <t>Households Admitted To LBC Temporary Accommodation</t>
  </si>
  <si>
    <t>Re-housed From Temporary Accommodation To Permanent</t>
  </si>
  <si>
    <t>Households Who Vacated For Other Reasons</t>
  </si>
  <si>
    <t>Net Gain Or Loss (-) From LBC TA</t>
  </si>
  <si>
    <t>Increase in use of Non council Temporary Accommodation since last financial year</t>
  </si>
  <si>
    <t>Total In Temporary Accommodation</t>
  </si>
  <si>
    <t>Status of cases in Temporary Accommodation</t>
  </si>
  <si>
    <t>Investigated</t>
  </si>
  <si>
    <t>Under investigation</t>
  </si>
  <si>
    <t>Distribution</t>
  </si>
  <si>
    <t>LBC Temporary Accommodation</t>
  </si>
  <si>
    <t xml:space="preserve">    Asylum Seekers (non qualifying   persons):</t>
  </si>
  <si>
    <t xml:space="preserve">    Suspended through rent arrears:</t>
  </si>
  <si>
    <t xml:space="preserve">    Under Consideration - Housing Register:</t>
  </si>
  <si>
    <t xml:space="preserve">Bed and Breakfast </t>
  </si>
  <si>
    <t>of which shared accom</t>
  </si>
  <si>
    <t xml:space="preserve">            annexe accom</t>
  </si>
  <si>
    <t xml:space="preserve">            self contained  </t>
  </si>
  <si>
    <t>Housing Association Privately Leased Accommodation (HASS)</t>
  </si>
  <si>
    <t>Private Sector Leasing Scheme (Inc. CONC, SYCA, &amp; Windsor Hse)</t>
  </si>
  <si>
    <t xml:space="preserve">Sponsored Tenancy scheme placements </t>
  </si>
  <si>
    <t>CRIAS placements</t>
  </si>
  <si>
    <t>Mother &amp; Baby Hostel</t>
  </si>
  <si>
    <t>Expanding Temporary accommodation + HABB</t>
  </si>
  <si>
    <t>Market Rent Scheme</t>
  </si>
  <si>
    <t>Croydon Churches TA</t>
  </si>
  <si>
    <t>Lennard Rd</t>
  </si>
  <si>
    <r>
      <t xml:space="preserve">Private Sector Licensing Agreement (SPLA, PSLA, GRS, PSLS </t>
    </r>
    <r>
      <rPr>
        <sz val="10"/>
        <color rgb="FFFF0000"/>
        <rFont val="Calibri"/>
        <family val="2"/>
        <scheme val="minor"/>
      </rPr>
      <t>&amp; FBNB</t>
    </r>
    <r>
      <rPr>
        <sz val="12"/>
        <rFont val="Arial"/>
        <family val="2"/>
      </rPr>
      <t xml:space="preserve">) </t>
    </r>
  </si>
  <si>
    <t>206 agreement type codes for the temporary accommodation figures could not be sourced. These have been excluded in the temporary</t>
  </si>
  <si>
    <t xml:space="preserve"> accommodation figures.</t>
  </si>
  <si>
    <t>Total Weeks</t>
  </si>
  <si>
    <t>Weeks To Date (Mondays)</t>
  </si>
  <si>
    <t>Weeks Remaining</t>
  </si>
  <si>
    <t>April</t>
  </si>
  <si>
    <t>2017-18 SUMMARY</t>
  </si>
  <si>
    <t>2017-18</t>
  </si>
  <si>
    <t>17-18 YTD</t>
  </si>
  <si>
    <t>Year End</t>
  </si>
  <si>
    <t>No data</t>
  </si>
  <si>
    <t>SUPPLY</t>
  </si>
  <si>
    <t>RAG</t>
  </si>
  <si>
    <t>Polarity</t>
  </si>
  <si>
    <t>D.P</t>
  </si>
  <si>
    <t>BIB</t>
  </si>
  <si>
    <t>AMBER RATING</t>
  </si>
  <si>
    <t>Sparkline- difference between current and previous month</t>
  </si>
  <si>
    <t>LATEST MONTH</t>
  </si>
  <si>
    <t>As at-snapshot</t>
  </si>
  <si>
    <t>D.P- cumulative</t>
  </si>
  <si>
    <t>Cumulative</t>
  </si>
  <si>
    <t>N/A</t>
  </si>
  <si>
    <t>TBC</t>
  </si>
  <si>
    <t>cumulative</t>
  </si>
  <si>
    <t>SIB</t>
  </si>
  <si>
    <t>Measure</t>
  </si>
  <si>
    <t>Outturn 2016/17</t>
  </si>
  <si>
    <t>Target 2017/18</t>
  </si>
  <si>
    <t>The number of BME households found to be eligible for assistance, unintentionally homeless, and in priority need.</t>
  </si>
  <si>
    <t>Lower is better</t>
  </si>
  <si>
    <t>The number of female lone parent households found to be eligible for assistance, unintentionally homeless, and in priority need.</t>
  </si>
  <si>
    <t xml:space="preserve">The number of households accepted as homeless under the Housing Act </t>
  </si>
  <si>
    <r>
      <t>Number of homeless households living in bed &amp; breakfast and self-contained temporary accommodation</t>
    </r>
    <r>
      <rPr>
        <sz val="10"/>
        <color rgb="FF002060"/>
        <rFont val="Arial"/>
        <family val="2"/>
      </rPr>
      <t>.</t>
    </r>
  </si>
  <si>
    <t xml:space="preserve">37 cases </t>
  </si>
  <si>
    <t>60 cases</t>
  </si>
  <si>
    <t>TARGET 17/18 (RAG)- GREEN STAGGERED TARGET</t>
  </si>
  <si>
    <t>TA list- current agreement codes have now been excluded from list - BBSS, GRNS, SECU". All previous months have been refreshed.</t>
  </si>
  <si>
    <t>Performance as at September 17 (Q2)</t>
  </si>
  <si>
    <t>Not appropriate to set a target</t>
  </si>
  <si>
    <t>Number of households with dependent children and/or pregnant woman with no other dependants  in bed and breakfast for 6 weeks or longer</t>
  </si>
  <si>
    <t>273 (YTD)</t>
  </si>
  <si>
    <t>222 (YTD)</t>
  </si>
  <si>
    <t>384 (YTD)</t>
  </si>
  <si>
    <t>772 (AS AT)</t>
  </si>
  <si>
    <t>10 CASES (AS AT)</t>
  </si>
  <si>
    <t>Ambitious for Croydon Indicators- July to September 17 (Q2)</t>
  </si>
  <si>
    <t>file:///R:\Performance%20team%20outside%20of%20SharePoint%20DO%20NOT%20DELETE\DASHH%20Performance%20Folders\Housing\Supply%20and%20Demand%20Outturn%20Report\methodology\Methodology%20and%20rerports%20to%20use-%20Supply%20and%20Demand%20-%20D.L.xlsx</t>
  </si>
  <si>
    <t>Assisted Private Purchase</t>
  </si>
  <si>
    <t>Of which, temporary to permanent conversions</t>
  </si>
  <si>
    <t>Allocated Sheltered/ Special Sheltered Housing</t>
  </si>
  <si>
    <t>Families with children</t>
  </si>
  <si>
    <t>Special needs cases</t>
  </si>
  <si>
    <t>Asylum Seekers (non qualifying persons):</t>
  </si>
  <si>
    <t>Suspended through rent arrears:</t>
  </si>
  <si>
    <t>Under Consideration - Housing Register:</t>
  </si>
  <si>
    <t>Under occupied</t>
  </si>
  <si>
    <t>annexe accommodation</t>
  </si>
  <si>
    <t xml:space="preserve">self contained </t>
  </si>
  <si>
    <t>Of Which, Allocated Sheltered/ Special Sheltered Housing</t>
  </si>
  <si>
    <t>Sheltered</t>
  </si>
  <si>
    <t>1 Bedroom</t>
  </si>
  <si>
    <t>2 Bedrooms</t>
  </si>
  <si>
    <t>3 Bedrooms</t>
  </si>
  <si>
    <t>4 Bedrooms+</t>
  </si>
  <si>
    <t>Of which were under occupied</t>
  </si>
  <si>
    <t>Of which, shared accommodation</t>
  </si>
  <si>
    <t xml:space="preserve">Private Sector Licensing Agreement 
(FBNB, GRS, PSLA, PSLS &amp; SPLA ) </t>
  </si>
  <si>
    <t>Lennard Road</t>
  </si>
  <si>
    <t>Private Sector Leasing Scheme 
(Inc. CONC, SYCA, &amp; Windsor House)</t>
  </si>
  <si>
    <t>Brick by Brick Programme</t>
  </si>
  <si>
    <t>Target Allocations :31/01/2018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</si>
</sst>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yy"/>
    <numFmt numFmtId="165" formatCode=";;;"/>
    <numFmt numFmtId="166" formatCode="dd\ mmmm\ yyyy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Arial"/>
      <family val="2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0"/>
      <color theme="0" tint="-0.499984740745262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2"/>
      <color indexed="8"/>
      <name val="Calibri"/>
      <family val="2"/>
    </font>
    <font>
      <sz val="12"/>
      <color rgb="FF0070C0"/>
      <name val="Arial"/>
      <family val="2"/>
    </font>
    <font>
      <b/>
      <sz val="11"/>
      <name val="Calibri"/>
      <family val="2"/>
    </font>
    <font>
      <b/>
      <sz val="10"/>
      <color rgb="FF339966"/>
      <name val="Calibri"/>
      <family val="2"/>
      <scheme val="minor"/>
    </font>
    <font>
      <b/>
      <u/>
      <sz val="11"/>
      <name val="Calibri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ourier New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rgb="FF00B050"/>
      <name val="Wingdings 3"/>
      <family val="1"/>
      <charset val="2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2060"/>
      <name val="Arial"/>
      <family val="2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name val="Calibri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99"/>
        <bgColor rgb="FF000000"/>
      </patternFill>
    </fill>
    <fill>
      <patternFill patternType="solid">
        <fgColor rgb="FFFFFFFF"/>
        <bgColor rgb="FF000000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double">
        <color auto="1"/>
      </left>
      <right/>
      <top/>
      <bottom style="thin">
        <color theme="0" tint="-0.499984740745262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1" fontId="12" fillId="0" borderId="0"/>
    <xf numFmtId="0" fontId="14" fillId="0" borderId="0"/>
    <xf numFmtId="0" fontId="1" fillId="0" borderId="0"/>
  </cellStyleXfs>
  <cellXfs count="473">
    <xf numFmtId="0" fontId="0" fillId="0" borderId="0" xfId="0"/>
    <xf numFmtId="15" fontId="3" fillId="0" borderId="0" xfId="0" applyNumberFormat="1" applyFont="1" applyAlignment="1">
      <alignment horizontal="left"/>
    </xf>
    <xf numFmtId="0" fontId="2" fillId="0" borderId="0" xfId="0" applyFont="1"/>
    <xf numFmtId="0" fontId="7" fillId="3" borderId="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7" fontId="10" fillId="6" borderId="23" xfId="0" applyNumberFormat="1" applyFont="1" applyFill="1" applyBorder="1" applyAlignment="1">
      <alignment horizontal="left" vertical="center"/>
    </xf>
    <xf numFmtId="17" fontId="11" fillId="6" borderId="24" xfId="0" applyNumberFormat="1" applyFont="1" applyFill="1" applyBorder="1" applyAlignment="1">
      <alignment horizontal="center" wrapText="1"/>
    </xf>
    <xf numFmtId="17" fontId="11" fillId="6" borderId="25" xfId="0" applyNumberFormat="1" applyFont="1" applyFill="1" applyBorder="1" applyAlignment="1">
      <alignment horizontal="center" wrapText="1"/>
    </xf>
    <xf numFmtId="1" fontId="13" fillId="0" borderId="26" xfId="1" applyFont="1" applyFill="1" applyBorder="1" applyAlignment="1">
      <alignment horizontal="left" vertical="center" wrapText="1"/>
    </xf>
    <xf numFmtId="0" fontId="6" fillId="7" borderId="27" xfId="2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/>
    <xf numFmtId="0" fontId="6" fillId="7" borderId="31" xfId="2" applyFont="1" applyFill="1" applyBorder="1" applyAlignment="1">
      <alignment horizontal="center" vertical="center" wrapText="1"/>
    </xf>
    <xf numFmtId="0" fontId="6" fillId="7" borderId="32" xfId="2" applyFont="1" applyFill="1" applyBorder="1" applyAlignment="1">
      <alignment horizontal="center" vertical="center" wrapText="1"/>
    </xf>
    <xf numFmtId="0" fontId="6" fillId="7" borderId="33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/>
    <xf numFmtId="1" fontId="13" fillId="0" borderId="35" xfId="1" applyFont="1" applyFill="1" applyBorder="1" applyAlignment="1">
      <alignment horizontal="left" vertical="center" wrapText="1"/>
    </xf>
    <xf numFmtId="0" fontId="6" fillId="7" borderId="36" xfId="2" applyFont="1" applyFill="1" applyBorder="1" applyAlignment="1">
      <alignment horizontal="center" vertical="center" wrapText="1"/>
    </xf>
    <xf numFmtId="0" fontId="6" fillId="7" borderId="37" xfId="2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/>
    <xf numFmtId="0" fontId="6" fillId="7" borderId="40" xfId="2" applyFont="1" applyFill="1" applyBorder="1" applyAlignment="1">
      <alignment horizontal="center" vertical="center" wrapText="1"/>
    </xf>
    <xf numFmtId="0" fontId="6" fillId="7" borderId="41" xfId="2" applyFont="1" applyFill="1" applyBorder="1" applyAlignment="1">
      <alignment horizontal="center" vertical="center" wrapText="1"/>
    </xf>
    <xf numFmtId="0" fontId="6" fillId="7" borderId="42" xfId="2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5" xfId="0" applyFont="1" applyBorder="1" applyAlignment="1">
      <alignment horizontal="center" vertical="center"/>
    </xf>
    <xf numFmtId="0" fontId="6" fillId="8" borderId="42" xfId="2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/>
    <xf numFmtId="0" fontId="2" fillId="0" borderId="15" xfId="0" applyFont="1" applyBorder="1"/>
    <xf numFmtId="0" fontId="2" fillId="0" borderId="0" xfId="0" applyFont="1" applyAlignment="1"/>
    <xf numFmtId="1" fontId="16" fillId="0" borderId="35" xfId="1" applyFont="1" applyFill="1" applyBorder="1" applyAlignment="1">
      <alignment horizontal="left" vertical="center" wrapText="1"/>
    </xf>
    <xf numFmtId="0" fontId="8" fillId="9" borderId="23" xfId="0" applyFont="1" applyFill="1" applyBorder="1"/>
    <xf numFmtId="3" fontId="7" fillId="9" borderId="44" xfId="0" applyNumberFormat="1" applyFont="1" applyFill="1" applyBorder="1" applyAlignment="1">
      <alignment horizontal="center" vertical="center"/>
    </xf>
    <xf numFmtId="3" fontId="7" fillId="9" borderId="45" xfId="0" applyNumberFormat="1" applyFont="1" applyFill="1" applyBorder="1" applyAlignment="1">
      <alignment horizontal="center" vertical="center"/>
    </xf>
    <xf numFmtId="3" fontId="7" fillId="10" borderId="46" xfId="0" applyNumberFormat="1" applyFont="1" applyFill="1" applyBorder="1" applyAlignment="1">
      <alignment horizontal="center" vertical="center"/>
    </xf>
    <xf numFmtId="3" fontId="7" fillId="10" borderId="47" xfId="0" applyNumberFormat="1" applyFont="1" applyFill="1" applyBorder="1" applyAlignment="1">
      <alignment horizontal="center" vertical="center"/>
    </xf>
    <xf numFmtId="0" fontId="0" fillId="0" borderId="47" xfId="0" applyBorder="1"/>
    <xf numFmtId="3" fontId="7" fillId="9" borderId="48" xfId="0" applyNumberFormat="1" applyFont="1" applyFill="1" applyBorder="1" applyAlignment="1">
      <alignment horizontal="center" vertical="center"/>
    </xf>
    <xf numFmtId="3" fontId="7" fillId="10" borderId="48" xfId="0" applyNumberFormat="1" applyFont="1" applyFill="1" applyBorder="1" applyAlignment="1">
      <alignment horizontal="center" vertical="center"/>
    </xf>
    <xf numFmtId="0" fontId="6" fillId="7" borderId="49" xfId="2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7" borderId="50" xfId="2" applyFont="1" applyFill="1" applyBorder="1" applyAlignment="1">
      <alignment horizontal="center" vertical="center" wrapText="1"/>
    </xf>
    <xf numFmtId="3" fontId="7" fillId="9" borderId="51" xfId="0" applyNumberFormat="1" applyFont="1" applyFill="1" applyBorder="1" applyAlignment="1">
      <alignment horizontal="center" vertical="center"/>
    </xf>
    <xf numFmtId="3" fontId="7" fillId="10" borderId="52" xfId="0" applyNumberFormat="1" applyFont="1" applyFill="1" applyBorder="1" applyAlignment="1">
      <alignment horizontal="center" vertical="center"/>
    </xf>
    <xf numFmtId="3" fontId="7" fillId="10" borderId="24" xfId="0" applyNumberFormat="1" applyFont="1" applyFill="1" applyBorder="1" applyAlignment="1">
      <alignment horizontal="center" vertical="center"/>
    </xf>
    <xf numFmtId="3" fontId="17" fillId="9" borderId="4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" fontId="7" fillId="9" borderId="52" xfId="0" applyNumberFormat="1" applyFont="1" applyFill="1" applyBorder="1" applyAlignment="1">
      <alignment horizontal="center" vertical="center"/>
    </xf>
    <xf numFmtId="0" fontId="0" fillId="0" borderId="53" xfId="0" applyBorder="1"/>
    <xf numFmtId="1" fontId="18" fillId="0" borderId="26" xfId="1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/>
    </xf>
    <xf numFmtId="0" fontId="20" fillId="0" borderId="0" xfId="0" applyFont="1"/>
    <xf numFmtId="0" fontId="6" fillId="7" borderId="54" xfId="2" applyFont="1" applyFill="1" applyBorder="1" applyAlignment="1">
      <alignment horizontal="center" vertical="center" wrapText="1"/>
    </xf>
    <xf numFmtId="0" fontId="2" fillId="0" borderId="0" xfId="0" applyFont="1" applyFill="1"/>
    <xf numFmtId="3" fontId="7" fillId="9" borderId="39" xfId="0" applyNumberFormat="1" applyFont="1" applyFill="1" applyBorder="1" applyAlignment="1">
      <alignment horizontal="center" vertical="center"/>
    </xf>
    <xf numFmtId="3" fontId="7" fillId="9" borderId="5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1" fontId="18" fillId="0" borderId="35" xfId="1" applyFont="1" applyFill="1" applyBorder="1" applyAlignment="1">
      <alignment horizontal="left" vertical="center" wrapText="1"/>
    </xf>
    <xf numFmtId="1" fontId="6" fillId="0" borderId="39" xfId="0" applyNumberFormat="1" applyFont="1" applyBorder="1" applyAlignment="1">
      <alignment horizontal="center" vertical="center"/>
    </xf>
    <xf numFmtId="3" fontId="7" fillId="9" borderId="53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>
      <alignment horizontal="center" vertical="center"/>
    </xf>
    <xf numFmtId="0" fontId="2" fillId="0" borderId="57" xfId="0" applyFont="1" applyBorder="1"/>
    <xf numFmtId="0" fontId="8" fillId="9" borderId="23" xfId="0" applyFont="1" applyFill="1" applyBorder="1" applyAlignment="1">
      <alignment wrapText="1"/>
    </xf>
    <xf numFmtId="3" fontId="7" fillId="9" borderId="44" xfId="0" applyNumberFormat="1" applyFont="1" applyFill="1" applyBorder="1" applyAlignment="1">
      <alignment horizontal="center" vertical="center" wrapText="1"/>
    </xf>
    <xf numFmtId="3" fontId="7" fillId="9" borderId="51" xfId="0" applyNumberFormat="1" applyFont="1" applyFill="1" applyBorder="1" applyAlignment="1">
      <alignment horizontal="center" vertical="center" wrapText="1"/>
    </xf>
    <xf numFmtId="3" fontId="7" fillId="9" borderId="52" xfId="0" applyNumberFormat="1" applyFont="1" applyFill="1" applyBorder="1" applyAlignment="1">
      <alignment horizontal="center" vertical="center" wrapText="1"/>
    </xf>
    <xf numFmtId="3" fontId="7" fillId="9" borderId="39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3" fontId="7" fillId="9" borderId="45" xfId="0" applyNumberFormat="1" applyFont="1" applyFill="1" applyBorder="1" applyAlignment="1">
      <alignment horizontal="center" vertical="center" wrapText="1"/>
    </xf>
    <xf numFmtId="3" fontId="7" fillId="9" borderId="4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1" fillId="0" borderId="6" xfId="0" applyFont="1" applyBorder="1"/>
    <xf numFmtId="0" fontId="2" fillId="11" borderId="15" xfId="0" applyFont="1" applyFill="1" applyBorder="1"/>
    <xf numFmtId="0" fontId="22" fillId="11" borderId="17" xfId="0" applyFont="1" applyFill="1" applyBorder="1"/>
    <xf numFmtId="0" fontId="2" fillId="11" borderId="43" xfId="0" applyFont="1" applyFill="1" applyBorder="1"/>
    <xf numFmtId="0" fontId="21" fillId="0" borderId="30" xfId="0" applyFont="1" applyBorder="1"/>
    <xf numFmtId="0" fontId="0" fillId="0" borderId="15" xfId="0" applyBorder="1"/>
    <xf numFmtId="0" fontId="2" fillId="11" borderId="58" xfId="0" applyFont="1" applyFill="1" applyBorder="1"/>
    <xf numFmtId="0" fontId="2" fillId="0" borderId="59" xfId="0" applyFont="1" applyBorder="1"/>
    <xf numFmtId="0" fontId="23" fillId="0" borderId="59" xfId="0" applyFont="1" applyBorder="1" applyAlignment="1">
      <alignment horizontal="left"/>
    </xf>
    <xf numFmtId="0" fontId="22" fillId="0" borderId="17" xfId="0" applyFont="1" applyBorder="1"/>
    <xf numFmtId="0" fontId="2" fillId="0" borderId="46" xfId="0" applyFont="1" applyBorder="1"/>
    <xf numFmtId="0" fontId="21" fillId="0" borderId="39" xfId="0" applyFont="1" applyBorder="1"/>
    <xf numFmtId="0" fontId="2" fillId="0" borderId="60" xfId="0" applyFont="1" applyBorder="1"/>
    <xf numFmtId="0" fontId="2" fillId="0" borderId="61" xfId="0" applyFont="1" applyBorder="1"/>
    <xf numFmtId="0" fontId="22" fillId="0" borderId="28" xfId="0" applyFont="1" applyBorder="1"/>
    <xf numFmtId="0" fontId="2" fillId="0" borderId="62" xfId="0" applyFont="1" applyBorder="1"/>
    <xf numFmtId="0" fontId="2" fillId="0" borderId="1" xfId="0" applyFont="1" applyBorder="1"/>
    <xf numFmtId="1" fontId="18" fillId="0" borderId="63" xfId="1" applyFont="1" applyFill="1" applyBorder="1" applyAlignment="1">
      <alignment horizontal="left" vertical="center" wrapText="1"/>
    </xf>
    <xf numFmtId="1" fontId="13" fillId="0" borderId="64" xfId="1" applyFont="1" applyFill="1" applyBorder="1" applyAlignment="1">
      <alignment horizontal="center" vertical="center" wrapText="1"/>
    </xf>
    <xf numFmtId="0" fontId="6" fillId="7" borderId="39" xfId="2" applyFont="1" applyFill="1" applyBorder="1" applyAlignment="1">
      <alignment horizontal="center" vertical="center" wrapText="1"/>
    </xf>
    <xf numFmtId="0" fontId="6" fillId="7" borderId="65" xfId="2" applyFont="1" applyFill="1" applyBorder="1" applyAlignment="1">
      <alignment horizontal="center" vertical="center" wrapText="1"/>
    </xf>
    <xf numFmtId="1" fontId="6" fillId="0" borderId="64" xfId="0" applyNumberFormat="1" applyFont="1" applyBorder="1" applyAlignment="1">
      <alignment horizontal="center" vertical="center"/>
    </xf>
    <xf numFmtId="0" fontId="0" fillId="0" borderId="64" xfId="0" applyBorder="1"/>
    <xf numFmtId="0" fontId="6" fillId="7" borderId="64" xfId="2" applyFont="1" applyFill="1" applyBorder="1" applyAlignment="1">
      <alignment horizontal="center" vertical="center" wrapText="1"/>
    </xf>
    <xf numFmtId="17" fontId="10" fillId="6" borderId="66" xfId="0" applyNumberFormat="1" applyFont="1" applyFill="1" applyBorder="1" applyAlignment="1">
      <alignment horizontal="left" vertical="center"/>
    </xf>
    <xf numFmtId="17" fontId="11" fillId="6" borderId="67" xfId="0" applyNumberFormat="1" applyFont="1" applyFill="1" applyBorder="1" applyAlignment="1">
      <alignment horizontal="center" wrapText="1"/>
    </xf>
    <xf numFmtId="17" fontId="11" fillId="6" borderId="68" xfId="0" applyNumberFormat="1" applyFont="1" applyFill="1" applyBorder="1" applyAlignment="1">
      <alignment horizontal="center" wrapText="1"/>
    </xf>
    <xf numFmtId="0" fontId="24" fillId="0" borderId="58" xfId="0" applyFont="1" applyBorder="1"/>
    <xf numFmtId="0" fontId="25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2" fillId="0" borderId="43" xfId="0" applyFont="1" applyBorder="1"/>
    <xf numFmtId="0" fontId="26" fillId="0" borderId="15" xfId="0" applyFont="1" applyBorder="1"/>
    <xf numFmtId="0" fontId="26" fillId="0" borderId="0" xfId="0" applyFont="1" applyBorder="1"/>
    <xf numFmtId="0" fontId="2" fillId="0" borderId="58" xfId="0" applyFont="1" applyBorder="1"/>
    <xf numFmtId="0" fontId="26" fillId="0" borderId="34" xfId="0" applyFont="1" applyBorder="1"/>
    <xf numFmtId="0" fontId="26" fillId="0" borderId="0" xfId="0" applyFont="1"/>
    <xf numFmtId="0" fontId="24" fillId="0" borderId="69" xfId="0" applyFont="1" applyBorder="1"/>
    <xf numFmtId="0" fontId="25" fillId="0" borderId="70" xfId="0" applyFont="1" applyBorder="1" applyAlignment="1">
      <alignment horizontal="center"/>
    </xf>
    <xf numFmtId="0" fontId="27" fillId="0" borderId="17" xfId="0" applyFont="1" applyBorder="1"/>
    <xf numFmtId="0" fontId="26" fillId="0" borderId="43" xfId="0" applyFont="1" applyBorder="1"/>
    <xf numFmtId="0" fontId="26" fillId="0" borderId="58" xfId="0" applyFont="1" applyBorder="1"/>
    <xf numFmtId="0" fontId="21" fillId="0" borderId="60" xfId="0" applyFont="1" applyBorder="1"/>
    <xf numFmtId="0" fontId="2" fillId="0" borderId="71" xfId="0" applyFont="1" applyBorder="1"/>
    <xf numFmtId="0" fontId="19" fillId="0" borderId="59" xfId="0" applyFont="1" applyBorder="1" applyAlignment="1">
      <alignment horizontal="left"/>
    </xf>
    <xf numFmtId="0" fontId="2" fillId="0" borderId="72" xfId="0" applyFont="1" applyBorder="1"/>
    <xf numFmtId="0" fontId="21" fillId="0" borderId="58" xfId="0" applyFont="1" applyBorder="1" applyAlignment="1">
      <alignment vertical="top" wrapText="1"/>
    </xf>
    <xf numFmtId="0" fontId="2" fillId="0" borderId="73" xfId="0" applyFont="1" applyBorder="1"/>
    <xf numFmtId="0" fontId="25" fillId="0" borderId="15" xfId="0" applyFont="1" applyBorder="1" applyAlignment="1">
      <alignment horizontal="right" vertical="top"/>
    </xf>
    <xf numFmtId="0" fontId="22" fillId="0" borderId="74" xfId="0" applyFont="1" applyBorder="1"/>
    <xf numFmtId="0" fontId="2" fillId="0" borderId="38" xfId="0" applyFont="1" applyBorder="1"/>
    <xf numFmtId="0" fontId="2" fillId="0" borderId="75" xfId="0" applyFont="1" applyBorder="1"/>
    <xf numFmtId="0" fontId="21" fillId="0" borderId="58" xfId="0" applyFont="1" applyBorder="1"/>
    <xf numFmtId="0" fontId="25" fillId="0" borderId="15" xfId="0" applyFont="1" applyBorder="1" applyAlignment="1">
      <alignment horizontal="left"/>
    </xf>
    <xf numFmtId="0" fontId="25" fillId="0" borderId="15" xfId="0" applyFont="1" applyBorder="1" applyAlignment="1">
      <alignment horizontal="right"/>
    </xf>
    <xf numFmtId="0" fontId="2" fillId="0" borderId="76" xfId="0" applyFont="1" applyBorder="1"/>
    <xf numFmtId="0" fontId="19" fillId="0" borderId="70" xfId="0" applyFont="1" applyBorder="1" applyAlignment="1">
      <alignment horizontal="left"/>
    </xf>
    <xf numFmtId="0" fontId="2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6" fillId="7" borderId="80" xfId="2" applyFont="1" applyFill="1" applyBorder="1" applyAlignment="1">
      <alignment horizontal="center" vertical="center" wrapText="1"/>
    </xf>
    <xf numFmtId="0" fontId="6" fillId="12" borderId="42" xfId="2" applyFont="1" applyFill="1" applyBorder="1" applyAlignment="1">
      <alignment horizontal="center" vertical="center" wrapText="1"/>
    </xf>
    <xf numFmtId="0" fontId="6" fillId="13" borderId="81" xfId="2" applyFont="1" applyFill="1" applyBorder="1" applyAlignment="1">
      <alignment horizontal="left" vertical="center" wrapText="1"/>
    </xf>
    <xf numFmtId="0" fontId="6" fillId="13" borderId="36" xfId="2" applyFont="1" applyFill="1" applyBorder="1" applyAlignment="1">
      <alignment horizontal="center" vertical="center" wrapText="1"/>
    </xf>
    <xf numFmtId="0" fontId="6" fillId="13" borderId="37" xfId="2" applyFont="1" applyFill="1" applyBorder="1" applyAlignment="1">
      <alignment horizontal="center" vertical="center" wrapText="1"/>
    </xf>
    <xf numFmtId="1" fontId="6" fillId="13" borderId="38" xfId="0" applyNumberFormat="1" applyFont="1" applyFill="1" applyBorder="1" applyAlignment="1">
      <alignment horizontal="center" vertical="center"/>
    </xf>
    <xf numFmtId="1" fontId="6" fillId="13" borderId="39" xfId="0" applyNumberFormat="1" applyFont="1" applyFill="1" applyBorder="1" applyAlignment="1">
      <alignment horizontal="center" vertical="center"/>
    </xf>
    <xf numFmtId="1" fontId="28" fillId="13" borderId="82" xfId="0" applyNumberFormat="1" applyFont="1" applyFill="1" applyBorder="1" applyAlignment="1">
      <alignment horizontal="center" vertical="center"/>
    </xf>
    <xf numFmtId="1" fontId="5" fillId="13" borderId="75" xfId="0" applyNumberFormat="1" applyFont="1" applyFill="1" applyBorder="1" applyAlignment="1">
      <alignment horizontal="center" vertical="center"/>
    </xf>
    <xf numFmtId="1" fontId="5" fillId="13" borderId="83" xfId="0" applyNumberFormat="1" applyFont="1" applyFill="1" applyBorder="1" applyAlignment="1">
      <alignment horizontal="center" vertical="center"/>
    </xf>
    <xf numFmtId="1" fontId="29" fillId="12" borderId="56" xfId="0" applyNumberFormat="1" applyFont="1" applyFill="1" applyBorder="1" applyAlignment="1">
      <alignment horizontal="center" vertical="center"/>
    </xf>
    <xf numFmtId="1" fontId="29" fillId="0" borderId="56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1" fontId="5" fillId="0" borderId="74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0" fontId="20" fillId="0" borderId="34" xfId="0" applyFont="1" applyBorder="1"/>
    <xf numFmtId="1" fontId="30" fillId="0" borderId="56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13" fillId="0" borderId="84" xfId="1" applyFont="1" applyFill="1" applyBorder="1" applyAlignment="1">
      <alignment horizontal="left" vertical="center" wrapText="1"/>
    </xf>
    <xf numFmtId="0" fontId="6" fillId="7" borderId="85" xfId="2" applyFont="1" applyFill="1" applyBorder="1" applyAlignment="1">
      <alignment horizontal="center" vertical="center" wrapText="1"/>
    </xf>
    <xf numFmtId="0" fontId="6" fillId="7" borderId="86" xfId="2" applyFont="1" applyFill="1" applyBorder="1" applyAlignment="1">
      <alignment horizontal="center" vertical="center" wrapText="1"/>
    </xf>
    <xf numFmtId="1" fontId="6" fillId="0" borderId="87" xfId="0" applyNumberFormat="1" applyFont="1" applyBorder="1" applyAlignment="1">
      <alignment horizontal="center" vertical="center"/>
    </xf>
    <xf numFmtId="1" fontId="6" fillId="0" borderId="88" xfId="0" applyNumberFormat="1" applyFont="1" applyBorder="1" applyAlignment="1">
      <alignment horizontal="center" vertical="center"/>
    </xf>
    <xf numFmtId="0" fontId="0" fillId="0" borderId="88" xfId="0" applyBorder="1"/>
    <xf numFmtId="0" fontId="6" fillId="7" borderId="89" xfId="2" applyFont="1" applyFill="1" applyBorder="1" applyAlignment="1">
      <alignment horizontal="center" vertical="center" wrapText="1"/>
    </xf>
    <xf numFmtId="1" fontId="30" fillId="0" borderId="90" xfId="0" applyNumberFormat="1" applyFont="1" applyFill="1" applyBorder="1" applyAlignment="1">
      <alignment horizontal="center" vertical="center"/>
    </xf>
    <xf numFmtId="0" fontId="32" fillId="0" borderId="0" xfId="0" applyFont="1"/>
    <xf numFmtId="1" fontId="33" fillId="0" borderId="0" xfId="1" applyFont="1" applyAlignment="1">
      <alignment horizontal="left"/>
    </xf>
    <xf numFmtId="1" fontId="33" fillId="0" borderId="0" xfId="1" applyFont="1"/>
    <xf numFmtId="1" fontId="34" fillId="0" borderId="0" xfId="1" applyFont="1" applyAlignment="1">
      <alignment horizontal="left"/>
    </xf>
    <xf numFmtId="0" fontId="2" fillId="8" borderId="0" xfId="0" applyFont="1" applyFill="1"/>
    <xf numFmtId="0" fontId="2" fillId="0" borderId="17" xfId="0" applyFont="1" applyBorder="1"/>
    <xf numFmtId="0" fontId="22" fillId="11" borderId="43" xfId="0" applyFont="1" applyFill="1" applyBorder="1"/>
    <xf numFmtId="0" fontId="22" fillId="0" borderId="43" xfId="0" applyFont="1" applyBorder="1"/>
    <xf numFmtId="0" fontId="22" fillId="0" borderId="29" xfId="0" applyFont="1" applyBorder="1"/>
    <xf numFmtId="0" fontId="22" fillId="0" borderId="43" xfId="0" applyFont="1" applyBorder="1" applyAlignment="1">
      <alignment horizontal="center" wrapText="1"/>
    </xf>
    <xf numFmtId="0" fontId="27" fillId="0" borderId="43" xfId="0" applyFont="1" applyBorder="1"/>
    <xf numFmtId="0" fontId="22" fillId="0" borderId="38" xfId="0" applyFont="1" applyBorder="1"/>
    <xf numFmtId="0" fontId="22" fillId="0" borderId="78" xfId="0" applyFont="1" applyBorder="1"/>
    <xf numFmtId="3" fontId="7" fillId="9" borderId="25" xfId="0" applyNumberFormat="1" applyFont="1" applyFill="1" applyBorder="1" applyAlignment="1">
      <alignment horizontal="center" vertical="center"/>
    </xf>
    <xf numFmtId="3" fontId="7" fillId="9" borderId="24" xfId="0" applyNumberFormat="1" applyFont="1" applyFill="1" applyBorder="1" applyAlignment="1">
      <alignment horizontal="center" vertical="center"/>
    </xf>
    <xf numFmtId="0" fontId="6" fillId="7" borderId="93" xfId="2" applyFont="1" applyFill="1" applyBorder="1" applyAlignment="1">
      <alignment horizontal="center" vertical="center" wrapText="1"/>
    </xf>
    <xf numFmtId="0" fontId="2" fillId="0" borderId="94" xfId="0" applyFont="1" applyBorder="1"/>
    <xf numFmtId="1" fontId="5" fillId="0" borderId="95" xfId="0" applyNumberFormat="1" applyFont="1" applyFill="1" applyBorder="1" applyAlignment="1">
      <alignment horizontal="center" vertical="center"/>
    </xf>
    <xf numFmtId="3" fontId="7" fillId="10" borderId="96" xfId="0" applyNumberFormat="1" applyFont="1" applyFill="1" applyBorder="1" applyAlignment="1">
      <alignment horizontal="center" vertical="center"/>
    </xf>
    <xf numFmtId="3" fontId="7" fillId="9" borderId="96" xfId="0" applyNumberFormat="1" applyFont="1" applyFill="1" applyBorder="1" applyAlignment="1">
      <alignment horizontal="center" vertical="center"/>
    </xf>
    <xf numFmtId="3" fontId="7" fillId="9" borderId="96" xfId="0" applyNumberFormat="1" applyFont="1" applyFill="1" applyBorder="1" applyAlignment="1">
      <alignment horizontal="center" vertical="center" wrapText="1"/>
    </xf>
    <xf numFmtId="0" fontId="6" fillId="7" borderId="95" xfId="2" applyFont="1" applyFill="1" applyBorder="1" applyAlignment="1">
      <alignment horizontal="center" vertical="center" wrapText="1"/>
    </xf>
    <xf numFmtId="0" fontId="26" fillId="0" borderId="94" xfId="0" applyFont="1" applyBorder="1"/>
    <xf numFmtId="0" fontId="37" fillId="0" borderId="0" xfId="0" applyFont="1" applyAlignment="1">
      <alignment horizontal="left" vertical="center" indent="8"/>
    </xf>
    <xf numFmtId="0" fontId="5" fillId="0" borderId="6" xfId="0" applyFont="1" applyBorder="1" applyAlignment="1">
      <alignment horizontal="center" vertical="center"/>
    </xf>
    <xf numFmtId="0" fontId="6" fillId="7" borderId="74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64" xfId="0" applyFont="1" applyBorder="1" applyAlignment="1">
      <alignment horizontal="center" vertical="center" wrapText="1"/>
    </xf>
    <xf numFmtId="0" fontId="8" fillId="9" borderId="48" xfId="0" applyFont="1" applyFill="1" applyBorder="1"/>
    <xf numFmtId="0" fontId="2" fillId="0" borderId="100" xfId="0" applyFont="1" applyBorder="1"/>
    <xf numFmtId="0" fontId="2" fillId="0" borderId="101" xfId="0" applyFont="1" applyBorder="1"/>
    <xf numFmtId="1" fontId="13" fillId="0" borderId="99" xfId="1" applyFont="1" applyFill="1" applyBorder="1" applyAlignment="1">
      <alignment horizontal="left" vertical="center" wrapText="1"/>
    </xf>
    <xf numFmtId="1" fontId="13" fillId="0" borderId="6" xfId="1" applyFont="1" applyFill="1" applyBorder="1" applyAlignment="1">
      <alignment horizontal="left" vertical="center" wrapText="1"/>
    </xf>
    <xf numFmtId="0" fontId="23" fillId="8" borderId="0" xfId="0" applyFont="1" applyFill="1"/>
    <xf numFmtId="0" fontId="38" fillId="8" borderId="0" xfId="0" applyFont="1" applyFill="1"/>
    <xf numFmtId="0" fontId="39" fillId="8" borderId="0" xfId="0" applyFont="1" applyFill="1"/>
    <xf numFmtId="1" fontId="6" fillId="7" borderId="41" xfId="2" applyNumberFormat="1" applyFont="1" applyFill="1" applyBorder="1" applyAlignment="1">
      <alignment horizontal="center" vertical="center" wrapText="1"/>
    </xf>
    <xf numFmtId="3" fontId="6" fillId="7" borderId="41" xfId="2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/>
    <xf numFmtId="0" fontId="6" fillId="5" borderId="0" xfId="0" applyFont="1" applyFill="1" applyBorder="1" applyAlignment="1">
      <alignment horizontal="center" vertical="center"/>
    </xf>
    <xf numFmtId="17" fontId="9" fillId="6" borderId="102" xfId="0" applyNumberFormat="1" applyFont="1" applyFill="1" applyBorder="1" applyAlignment="1">
      <alignment horizontal="center" vertical="center" wrapText="1"/>
    </xf>
    <xf numFmtId="17" fontId="9" fillId="6" borderId="0" xfId="0" applyNumberFormat="1" applyFont="1" applyFill="1" applyBorder="1" applyAlignment="1">
      <alignment horizontal="center" vertical="center" wrapText="1"/>
    </xf>
    <xf numFmtId="17" fontId="11" fillId="6" borderId="0" xfId="0" applyNumberFormat="1" applyFont="1" applyFill="1" applyBorder="1" applyAlignment="1">
      <alignment horizontal="center" wrapText="1"/>
    </xf>
    <xf numFmtId="0" fontId="6" fillId="7" borderId="0" xfId="2" applyFont="1" applyFill="1" applyBorder="1" applyAlignment="1">
      <alignment horizontal="center" vertical="center" wrapText="1"/>
    </xf>
    <xf numFmtId="3" fontId="7" fillId="10" borderId="0" xfId="0" applyNumberFormat="1" applyFont="1" applyFill="1" applyBorder="1" applyAlignment="1">
      <alignment horizontal="center" vertical="center"/>
    </xf>
    <xf numFmtId="3" fontId="7" fillId="9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3" fontId="7" fillId="9" borderId="0" xfId="0" applyNumberFormat="1" applyFont="1" applyFill="1" applyBorder="1" applyAlignment="1">
      <alignment horizontal="center" vertical="center" wrapText="1"/>
    </xf>
    <xf numFmtId="17" fontId="11" fillId="6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" fillId="0" borderId="64" xfId="0" applyFont="1" applyBorder="1"/>
    <xf numFmtId="0" fontId="23" fillId="8" borderId="64" xfId="0" applyFont="1" applyFill="1" applyBorder="1"/>
    <xf numFmtId="0" fontId="39" fillId="8" borderId="64" xfId="0" applyFont="1" applyFill="1" applyBorder="1"/>
    <xf numFmtId="0" fontId="2" fillId="0" borderId="64" xfId="0" applyFont="1" applyFill="1" applyBorder="1"/>
    <xf numFmtId="1" fontId="2" fillId="0" borderId="64" xfId="0" applyNumberFormat="1" applyFont="1" applyBorder="1"/>
    <xf numFmtId="1" fontId="2" fillId="0" borderId="92" xfId="0" applyNumberFormat="1" applyFont="1" applyBorder="1"/>
    <xf numFmtId="0" fontId="2" fillId="0" borderId="92" xfId="0" applyFont="1" applyBorder="1"/>
    <xf numFmtId="0" fontId="39" fillId="8" borderId="92" xfId="0" applyFont="1" applyFill="1" applyBorder="1"/>
    <xf numFmtId="0" fontId="39" fillId="8" borderId="0" xfId="0" applyFont="1" applyFill="1" applyBorder="1"/>
    <xf numFmtId="1" fontId="2" fillId="0" borderId="103" xfId="0" applyNumberFormat="1" applyFont="1" applyBorder="1"/>
    <xf numFmtId="0" fontId="2" fillId="0" borderId="104" xfId="0" applyFont="1" applyBorder="1"/>
    <xf numFmtId="0" fontId="39" fillId="8" borderId="104" xfId="0" applyFont="1" applyFill="1" applyBorder="1"/>
    <xf numFmtId="0" fontId="2" fillId="0" borderId="105" xfId="0" applyFont="1" applyBorder="1"/>
    <xf numFmtId="1" fontId="2" fillId="0" borderId="106" xfId="0" applyNumberFormat="1" applyFont="1" applyBorder="1"/>
    <xf numFmtId="0" fontId="2" fillId="0" borderId="107" xfId="0" applyFont="1" applyBorder="1"/>
    <xf numFmtId="1" fontId="2" fillId="0" borderId="108" xfId="0" applyNumberFormat="1" applyFont="1" applyBorder="1"/>
    <xf numFmtId="0" fontId="2" fillId="0" borderId="109" xfId="0" applyFont="1" applyBorder="1"/>
    <xf numFmtId="17" fontId="9" fillId="8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7" fillId="9" borderId="67" xfId="0" applyNumberFormat="1" applyFont="1" applyFill="1" applyBorder="1" applyAlignment="1">
      <alignment horizontal="center" vertical="center"/>
    </xf>
    <xf numFmtId="0" fontId="2" fillId="7" borderId="64" xfId="0" applyFont="1" applyFill="1" applyBorder="1"/>
    <xf numFmtId="0" fontId="2" fillId="7" borderId="0" xfId="0" applyFont="1" applyFill="1" applyBorder="1"/>
    <xf numFmtId="0" fontId="39" fillId="7" borderId="0" xfId="0" applyFont="1" applyFill="1" applyBorder="1"/>
    <xf numFmtId="0" fontId="2" fillId="7" borderId="0" xfId="0" applyFont="1" applyFill="1"/>
    <xf numFmtId="0" fontId="39" fillId="7" borderId="0" xfId="0" applyFont="1" applyFill="1"/>
    <xf numFmtId="0" fontId="2" fillId="7" borderId="0" xfId="0" applyFont="1" applyFill="1" applyAlignment="1"/>
    <xf numFmtId="0" fontId="26" fillId="7" borderId="0" xfId="0" applyFont="1" applyFill="1"/>
    <xf numFmtId="0" fontId="23" fillId="7" borderId="64" xfId="0" applyFont="1" applyFill="1" applyBorder="1"/>
    <xf numFmtId="0" fontId="38" fillId="7" borderId="0" xfId="0" applyFont="1" applyFill="1"/>
    <xf numFmtId="1" fontId="2" fillId="0" borderId="104" xfId="0" applyNumberFormat="1" applyFont="1" applyBorder="1"/>
    <xf numFmtId="1" fontId="2" fillId="0" borderId="107" xfId="0" applyNumberFormat="1" applyFont="1" applyBorder="1"/>
    <xf numFmtId="1" fontId="2" fillId="0" borderId="109" xfId="0" applyNumberFormat="1" applyFont="1" applyBorder="1"/>
    <xf numFmtId="17" fontId="11" fillId="0" borderId="0" xfId="0" applyNumberFormat="1" applyFont="1" applyFill="1" applyBorder="1" applyAlignment="1">
      <alignment horizontal="center" wrapText="1"/>
    </xf>
    <xf numFmtId="0" fontId="23" fillId="0" borderId="0" xfId="0" applyFont="1" applyFill="1"/>
    <xf numFmtId="3" fontId="2" fillId="0" borderId="0" xfId="0" applyNumberFormat="1" applyFont="1"/>
    <xf numFmtId="3" fontId="7" fillId="9" borderId="69" xfId="0" applyNumberFormat="1" applyFont="1" applyFill="1" applyBorder="1" applyAlignment="1">
      <alignment horizontal="center" vertical="center"/>
    </xf>
    <xf numFmtId="1" fontId="6" fillId="7" borderId="64" xfId="2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13" borderId="64" xfId="2" applyFont="1" applyFill="1" applyBorder="1" applyAlignment="1">
      <alignment horizontal="center" vertical="center" wrapText="1"/>
    </xf>
    <xf numFmtId="1" fontId="6" fillId="7" borderId="109" xfId="2" applyNumberFormat="1" applyFont="1" applyFill="1" applyBorder="1" applyAlignment="1">
      <alignment horizontal="center" vertical="center" wrapText="1"/>
    </xf>
    <xf numFmtId="0" fontId="6" fillId="7" borderId="109" xfId="2" applyFont="1" applyFill="1" applyBorder="1" applyAlignment="1">
      <alignment horizontal="center" vertical="center" wrapText="1"/>
    </xf>
    <xf numFmtId="0" fontId="6" fillId="8" borderId="0" xfId="2" applyFont="1" applyFill="1" applyBorder="1" applyAlignment="1">
      <alignment horizontal="center" vertical="center" wrapText="1"/>
    </xf>
    <xf numFmtId="1" fontId="6" fillId="7" borderId="64" xfId="0" applyNumberFormat="1" applyFont="1" applyFill="1" applyBorder="1" applyAlignment="1">
      <alignment horizontal="center" vertical="center"/>
    </xf>
    <xf numFmtId="1" fontId="6" fillId="13" borderId="64" xfId="0" applyNumberFormat="1" applyFont="1" applyFill="1" applyBorder="1" applyAlignment="1">
      <alignment horizontal="center" vertical="center"/>
    </xf>
    <xf numFmtId="1" fontId="42" fillId="12" borderId="0" xfId="0" applyNumberFormat="1" applyFont="1" applyFill="1" applyBorder="1" applyAlignment="1">
      <alignment vertical="center"/>
    </xf>
    <xf numFmtId="0" fontId="2" fillId="15" borderId="64" xfId="0" applyFont="1" applyFill="1" applyBorder="1"/>
    <xf numFmtId="1" fontId="42" fillId="15" borderId="64" xfId="0" applyNumberFormat="1" applyFont="1" applyFill="1" applyBorder="1" applyAlignment="1">
      <alignment vertical="center"/>
    </xf>
    <xf numFmtId="1" fontId="42" fillId="12" borderId="64" xfId="0" applyNumberFormat="1" applyFont="1" applyFill="1" applyBorder="1" applyAlignment="1">
      <alignment vertical="center"/>
    </xf>
    <xf numFmtId="164" fontId="6" fillId="7" borderId="0" xfId="2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26" fillId="7" borderId="0" xfId="0" applyFont="1" applyFill="1" applyBorder="1"/>
    <xf numFmtId="1" fontId="42" fillId="15" borderId="39" xfId="0" applyNumberFormat="1" applyFont="1" applyFill="1" applyBorder="1" applyAlignment="1">
      <alignment vertical="center"/>
    </xf>
    <xf numFmtId="0" fontId="2" fillId="0" borderId="47" xfId="0" applyFont="1" applyBorder="1"/>
    <xf numFmtId="0" fontId="2" fillId="0" borderId="53" xfId="0" applyFont="1" applyBorder="1"/>
    <xf numFmtId="0" fontId="2" fillId="0" borderId="39" xfId="0" applyFont="1" applyFill="1" applyBorder="1"/>
    <xf numFmtId="1" fontId="2" fillId="0" borderId="38" xfId="0" applyNumberFormat="1" applyFont="1" applyBorder="1"/>
    <xf numFmtId="17" fontId="9" fillId="7" borderId="0" xfId="0" applyNumberFormat="1" applyFont="1" applyFill="1" applyBorder="1" applyAlignment="1">
      <alignment horizontal="center" vertical="center" wrapText="1"/>
    </xf>
    <xf numFmtId="1" fontId="42" fillId="7" borderId="0" xfId="0" applyNumberFormat="1" applyFont="1" applyFill="1" applyBorder="1" applyAlignment="1">
      <alignment vertical="center"/>
    </xf>
    <xf numFmtId="0" fontId="2" fillId="7" borderId="0" xfId="0" applyFont="1" applyFill="1" applyBorder="1" applyAlignment="1"/>
    <xf numFmtId="17" fontId="11" fillId="7" borderId="0" xfId="0" applyNumberFormat="1" applyFont="1" applyFill="1" applyBorder="1" applyAlignment="1">
      <alignment horizontal="center" wrapText="1"/>
    </xf>
    <xf numFmtId="17" fontId="6" fillId="7" borderId="39" xfId="2" applyNumberFormat="1" applyFont="1" applyFill="1" applyBorder="1" applyAlignment="1">
      <alignment horizontal="center" vertical="center" wrapText="1"/>
    </xf>
    <xf numFmtId="164" fontId="6" fillId="7" borderId="39" xfId="2" applyNumberFormat="1" applyFont="1" applyFill="1" applyBorder="1" applyAlignment="1">
      <alignment horizontal="center" vertical="center" wrapText="1"/>
    </xf>
    <xf numFmtId="1" fontId="2" fillId="0" borderId="78" xfId="0" applyNumberFormat="1" applyFont="1" applyBorder="1"/>
    <xf numFmtId="1" fontId="2" fillId="0" borderId="52" xfId="0" applyNumberFormat="1" applyFont="1" applyBorder="1"/>
    <xf numFmtId="17" fontId="6" fillId="7" borderId="0" xfId="2" applyNumberFormat="1" applyFont="1" applyFill="1" applyBorder="1" applyAlignment="1">
      <alignment horizontal="center" vertical="center" wrapText="1"/>
    </xf>
    <xf numFmtId="17" fontId="9" fillId="6" borderId="60" xfId="0" applyNumberFormat="1" applyFont="1" applyFill="1" applyBorder="1" applyAlignment="1">
      <alignment horizontal="center" vertical="center" wrapText="1"/>
    </xf>
    <xf numFmtId="17" fontId="9" fillId="6" borderId="69" xfId="0" applyNumberFormat="1" applyFont="1" applyFill="1" applyBorder="1" applyAlignment="1">
      <alignment horizontal="center" vertical="center" wrapText="1"/>
    </xf>
    <xf numFmtId="1" fontId="6" fillId="7" borderId="74" xfId="0" applyNumberFormat="1" applyFont="1" applyFill="1" applyBorder="1" applyAlignment="1">
      <alignment horizontal="center" vertical="center"/>
    </xf>
    <xf numFmtId="0" fontId="43" fillId="18" borderId="64" xfId="0" applyFont="1" applyFill="1" applyBorder="1" applyAlignment="1">
      <alignment horizontal="center" vertical="center" wrapText="1"/>
    </xf>
    <xf numFmtId="0" fontId="44" fillId="18" borderId="64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center" wrapText="1"/>
    </xf>
    <xf numFmtId="0" fontId="6" fillId="7" borderId="118" xfId="2" applyFont="1" applyFill="1" applyBorder="1" applyAlignment="1">
      <alignment horizontal="center" vertical="center" wrapText="1"/>
    </xf>
    <xf numFmtId="0" fontId="6" fillId="7" borderId="119" xfId="2" applyFont="1" applyFill="1" applyBorder="1" applyAlignment="1">
      <alignment horizontal="center" vertical="center" wrapText="1"/>
    </xf>
    <xf numFmtId="0" fontId="6" fillId="7" borderId="56" xfId="2" applyFont="1" applyFill="1" applyBorder="1" applyAlignment="1">
      <alignment horizontal="center" vertical="center" wrapText="1"/>
    </xf>
    <xf numFmtId="0" fontId="2" fillId="19" borderId="0" xfId="0" applyFont="1" applyFill="1" applyBorder="1"/>
    <xf numFmtId="0" fontId="39" fillId="19" borderId="0" xfId="0" applyFont="1" applyFill="1" applyBorder="1"/>
    <xf numFmtId="0" fontId="0" fillId="0" borderId="0" xfId="0" applyFont="1"/>
    <xf numFmtId="1" fontId="13" fillId="8" borderId="35" xfId="1" applyFont="1" applyFill="1" applyBorder="1" applyAlignment="1">
      <alignment horizontal="left" vertical="center" wrapText="1"/>
    </xf>
    <xf numFmtId="0" fontId="44" fillId="20" borderId="64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21" borderId="64" xfId="0" applyFont="1" applyFill="1" applyBorder="1" applyAlignment="1">
      <alignment horizontal="center" vertical="center" wrapText="1"/>
    </xf>
    <xf numFmtId="0" fontId="8" fillId="14" borderId="100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/>
    </xf>
    <xf numFmtId="1" fontId="49" fillId="0" borderId="99" xfId="1" applyFont="1" applyFill="1" applyBorder="1" applyAlignment="1">
      <alignment horizontal="left" vertical="center" wrapText="1" indent="2"/>
    </xf>
    <xf numFmtId="1" fontId="13" fillId="0" borderId="99" xfId="1" applyFont="1" applyFill="1" applyBorder="1" applyAlignment="1">
      <alignment horizontal="left" vertical="center" wrapText="1" indent="1"/>
    </xf>
    <xf numFmtId="1" fontId="6" fillId="0" borderId="92" xfId="0" applyNumberFormat="1" applyFont="1" applyBorder="1" applyAlignment="1">
      <alignment horizontal="center" vertical="center"/>
    </xf>
    <xf numFmtId="1" fontId="18" fillId="0" borderId="63" xfId="1" applyFont="1" applyFill="1" applyBorder="1" applyAlignment="1">
      <alignment horizontal="left" vertical="center"/>
    </xf>
    <xf numFmtId="1" fontId="49" fillId="0" borderId="99" xfId="1" applyFont="1" applyFill="1" applyBorder="1" applyAlignment="1">
      <alignment horizontal="left" vertical="center" wrapText="1" indent="1"/>
    </xf>
    <xf numFmtId="1" fontId="49" fillId="0" borderId="99" xfId="1" applyFont="1" applyFill="1" applyBorder="1" applyAlignment="1">
      <alignment horizontal="left" vertical="center" wrapText="1"/>
    </xf>
    <xf numFmtId="0" fontId="6" fillId="7" borderId="120" xfId="2" applyFont="1" applyFill="1" applyBorder="1" applyAlignment="1">
      <alignment horizontal="center" vertical="center" wrapText="1"/>
    </xf>
    <xf numFmtId="0" fontId="6" fillId="7" borderId="121" xfId="2" applyFont="1" applyFill="1" applyBorder="1" applyAlignment="1">
      <alignment horizontal="center" vertical="center" wrapText="1"/>
    </xf>
    <xf numFmtId="0" fontId="6" fillId="7" borderId="77" xfId="2" applyFont="1" applyFill="1" applyBorder="1" applyAlignment="1">
      <alignment horizontal="center" vertical="center" wrapText="1"/>
    </xf>
    <xf numFmtId="0" fontId="6" fillId="7" borderId="92" xfId="2" applyFont="1" applyFill="1" applyBorder="1" applyAlignment="1">
      <alignment horizontal="center" vertical="center" wrapText="1"/>
    </xf>
    <xf numFmtId="0" fontId="6" fillId="7" borderId="122" xfId="2" applyFont="1" applyFill="1" applyBorder="1" applyAlignment="1">
      <alignment horizontal="center" vertical="center" wrapText="1"/>
    </xf>
    <xf numFmtId="17" fontId="10" fillId="6" borderId="24" xfId="0" applyNumberFormat="1" applyFont="1" applyFill="1" applyBorder="1" applyAlignment="1">
      <alignment horizontal="left" vertical="center"/>
    </xf>
    <xf numFmtId="17" fontId="11" fillId="6" borderId="24" xfId="0" applyNumberFormat="1" applyFont="1" applyFill="1" applyBorder="1" applyAlignment="1">
      <alignment horizontal="center"/>
    </xf>
    <xf numFmtId="17" fontId="11" fillId="6" borderId="25" xfId="0" applyNumberFormat="1" applyFont="1" applyFill="1" applyBorder="1" applyAlignment="1">
      <alignment horizontal="center"/>
    </xf>
    <xf numFmtId="1" fontId="49" fillId="0" borderId="6" xfId="1" applyFont="1" applyFill="1" applyBorder="1" applyAlignment="1">
      <alignment horizontal="left" vertical="center" wrapText="1"/>
    </xf>
    <xf numFmtId="0" fontId="6" fillId="7" borderId="123" xfId="2" applyFont="1" applyFill="1" applyBorder="1" applyAlignment="1">
      <alignment horizontal="center" vertical="center" wrapText="1"/>
    </xf>
    <xf numFmtId="1" fontId="16" fillId="0" borderId="124" xfId="1" applyFont="1" applyFill="1" applyBorder="1" applyAlignment="1">
      <alignment horizontal="left" vertical="center" wrapText="1"/>
    </xf>
    <xf numFmtId="0" fontId="15" fillId="0" borderId="125" xfId="0" applyFont="1" applyBorder="1" applyAlignment="1">
      <alignment horizontal="center" vertical="center"/>
    </xf>
    <xf numFmtId="0" fontId="6" fillId="7" borderId="126" xfId="2" applyFont="1" applyFill="1" applyBorder="1" applyAlignment="1">
      <alignment horizontal="center" vertical="center" wrapText="1"/>
    </xf>
    <xf numFmtId="0" fontId="6" fillId="7" borderId="127" xfId="2" applyFont="1" applyFill="1" applyBorder="1" applyAlignment="1">
      <alignment horizontal="center" vertical="center" wrapText="1"/>
    </xf>
    <xf numFmtId="0" fontId="6" fillId="7" borderId="128" xfId="2" applyFont="1" applyFill="1" applyBorder="1" applyAlignment="1">
      <alignment horizontal="center" vertical="center" wrapText="1"/>
    </xf>
    <xf numFmtId="0" fontId="6" fillId="7" borderId="129" xfId="2" applyFont="1" applyFill="1" applyBorder="1" applyAlignment="1">
      <alignment horizontal="center" vertical="center" wrapText="1"/>
    </xf>
    <xf numFmtId="0" fontId="0" fillId="0" borderId="95" xfId="0" applyBorder="1"/>
    <xf numFmtId="0" fontId="6" fillId="0" borderId="74" xfId="0" applyFont="1" applyBorder="1" applyAlignment="1">
      <alignment horizontal="center" vertical="center"/>
    </xf>
    <xf numFmtId="165" fontId="6" fillId="0" borderId="64" xfId="0" applyNumberFormat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0" fillId="0" borderId="120" xfId="0" applyBorder="1"/>
    <xf numFmtId="0" fontId="6" fillId="7" borderId="130" xfId="2" applyFont="1" applyFill="1" applyBorder="1" applyAlignment="1">
      <alignment horizontal="center" vertical="center" wrapText="1"/>
    </xf>
    <xf numFmtId="0" fontId="6" fillId="7" borderId="131" xfId="2" applyFont="1" applyFill="1" applyBorder="1" applyAlignment="1">
      <alignment horizontal="center" vertical="center" wrapText="1"/>
    </xf>
    <xf numFmtId="1" fontId="13" fillId="0" borderId="110" xfId="1" applyFont="1" applyFill="1" applyBorder="1" applyAlignment="1">
      <alignment horizontal="left" vertical="center" wrapText="1"/>
    </xf>
    <xf numFmtId="0" fontId="15" fillId="0" borderId="111" xfId="0" applyFont="1" applyBorder="1" applyAlignment="1">
      <alignment horizontal="center" vertical="center"/>
    </xf>
    <xf numFmtId="1" fontId="41" fillId="0" borderId="111" xfId="0" applyNumberFormat="1" applyFont="1" applyBorder="1" applyAlignment="1">
      <alignment horizontal="center" vertical="center"/>
    </xf>
    <xf numFmtId="0" fontId="41" fillId="0" borderId="111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0" fillId="0" borderId="132" xfId="0" applyBorder="1"/>
    <xf numFmtId="1" fontId="13" fillId="0" borderId="108" xfId="1" applyFont="1" applyFill="1" applyBorder="1" applyAlignment="1">
      <alignment horizontal="left" vertical="center" wrapText="1"/>
    </xf>
    <xf numFmtId="0" fontId="6" fillId="7" borderId="133" xfId="2" applyFont="1" applyFill="1" applyBorder="1" applyAlignment="1">
      <alignment horizontal="center" vertical="center" wrapText="1"/>
    </xf>
    <xf numFmtId="3" fontId="7" fillId="10" borderId="25" xfId="0" applyNumberFormat="1" applyFont="1" applyFill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0" fontId="6" fillId="0" borderId="134" xfId="0" applyFont="1" applyBorder="1" applyAlignment="1">
      <alignment horizontal="center"/>
    </xf>
    <xf numFmtId="0" fontId="6" fillId="0" borderId="109" xfId="0" applyFont="1" applyBorder="1" applyAlignment="1">
      <alignment horizontal="center" vertical="center"/>
    </xf>
    <xf numFmtId="1" fontId="6" fillId="0" borderId="109" xfId="0" applyNumberFormat="1" applyFont="1" applyBorder="1" applyAlignment="1">
      <alignment horizontal="center" vertical="center"/>
    </xf>
    <xf numFmtId="1" fontId="6" fillId="7" borderId="109" xfId="0" applyNumberFormat="1" applyFont="1" applyFill="1" applyBorder="1" applyAlignment="1">
      <alignment horizontal="center" vertical="center"/>
    </xf>
    <xf numFmtId="0" fontId="0" fillId="0" borderId="133" xfId="0" applyBorder="1"/>
    <xf numFmtId="3" fontId="7" fillId="10" borderId="45" xfId="0" applyNumberFormat="1" applyFont="1" applyFill="1" applyBorder="1" applyAlignment="1">
      <alignment horizontal="center" vertical="center"/>
    </xf>
    <xf numFmtId="1" fontId="18" fillId="0" borderId="6" xfId="1" applyFont="1" applyFill="1" applyBorder="1" applyAlignment="1">
      <alignment horizontal="left" vertical="center"/>
    </xf>
    <xf numFmtId="1" fontId="49" fillId="0" borderId="124" xfId="1" applyFont="1" applyFill="1" applyBorder="1" applyAlignment="1">
      <alignment horizontal="left" vertical="center" wrapText="1" indent="2"/>
    </xf>
    <xf numFmtId="0" fontId="6" fillId="7" borderId="91" xfId="2" applyFont="1" applyFill="1" applyBorder="1" applyAlignment="1">
      <alignment horizontal="center" vertical="center" wrapText="1"/>
    </xf>
    <xf numFmtId="0" fontId="6" fillId="7" borderId="135" xfId="2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center" vertical="center"/>
    </xf>
    <xf numFmtId="0" fontId="6" fillId="7" borderId="134" xfId="0" applyFont="1" applyFill="1" applyBorder="1" applyAlignment="1">
      <alignment horizontal="center" vertical="center"/>
    </xf>
    <xf numFmtId="165" fontId="6" fillId="0" borderId="109" xfId="0" applyNumberFormat="1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1" fontId="18" fillId="0" borderId="6" xfId="1" applyFont="1" applyFill="1" applyBorder="1" applyAlignment="1">
      <alignment horizontal="left" vertical="center" wrapText="1"/>
    </xf>
    <xf numFmtId="1" fontId="6" fillId="0" borderId="134" xfId="0" applyNumberFormat="1" applyFont="1" applyBorder="1" applyAlignment="1">
      <alignment horizontal="center" vertical="center"/>
    </xf>
    <xf numFmtId="0" fontId="6" fillId="7" borderId="109" xfId="0" applyFont="1" applyFill="1" applyBorder="1" applyAlignment="1">
      <alignment horizontal="center" vertical="center"/>
    </xf>
    <xf numFmtId="0" fontId="6" fillId="7" borderId="136" xfId="2" applyFont="1" applyFill="1" applyBorder="1" applyAlignment="1">
      <alignment horizontal="center" vertical="center" wrapText="1"/>
    </xf>
    <xf numFmtId="0" fontId="6" fillId="7" borderId="137" xfId="2" applyFont="1" applyFill="1" applyBorder="1" applyAlignment="1">
      <alignment horizontal="center" vertical="center" wrapText="1"/>
    </xf>
    <xf numFmtId="0" fontId="6" fillId="0" borderId="109" xfId="2" applyFont="1" applyFill="1" applyBorder="1" applyAlignment="1">
      <alignment horizontal="center" vertical="center" wrapText="1"/>
    </xf>
    <xf numFmtId="0" fontId="6" fillId="7" borderId="90" xfId="2" applyFont="1" applyFill="1" applyBorder="1" applyAlignment="1">
      <alignment horizontal="center" vertical="center" wrapText="1"/>
    </xf>
    <xf numFmtId="0" fontId="6" fillId="7" borderId="138" xfId="2" applyFont="1" applyFill="1" applyBorder="1" applyAlignment="1">
      <alignment horizontal="center" vertical="center" wrapText="1"/>
    </xf>
    <xf numFmtId="0" fontId="6" fillId="7" borderId="134" xfId="2" applyFont="1" applyFill="1" applyBorder="1" applyAlignment="1">
      <alignment horizontal="center" vertical="center" wrapText="1"/>
    </xf>
    <xf numFmtId="1" fontId="13" fillId="0" borderId="139" xfId="1" applyFont="1" applyFill="1" applyBorder="1" applyAlignment="1">
      <alignment horizontal="left" vertical="center" wrapText="1"/>
    </xf>
    <xf numFmtId="0" fontId="6" fillId="7" borderId="140" xfId="2" applyFont="1" applyFill="1" applyBorder="1" applyAlignment="1">
      <alignment horizontal="center" vertical="center" wrapText="1"/>
    </xf>
    <xf numFmtId="1" fontId="5" fillId="0" borderId="91" xfId="0" applyNumberFormat="1" applyFont="1" applyFill="1" applyBorder="1" applyAlignment="1">
      <alignment horizontal="center" vertical="center"/>
    </xf>
    <xf numFmtId="0" fontId="0" fillId="7" borderId="95" xfId="0" applyFill="1" applyBorder="1"/>
    <xf numFmtId="3" fontId="6" fillId="7" borderId="74" xfId="2" applyNumberFormat="1" applyFont="1" applyFill="1" applyBorder="1" applyAlignment="1">
      <alignment horizontal="center" vertical="center" wrapText="1"/>
    </xf>
    <xf numFmtId="3" fontId="6" fillId="7" borderId="64" xfId="2" applyNumberFormat="1" applyFont="1" applyFill="1" applyBorder="1" applyAlignment="1">
      <alignment horizontal="center" vertical="center" wrapText="1"/>
    </xf>
    <xf numFmtId="0" fontId="6" fillId="0" borderId="74" xfId="2" applyFont="1" applyFill="1" applyBorder="1" applyAlignment="1">
      <alignment horizontal="center" vertical="center" wrapText="1"/>
    </xf>
    <xf numFmtId="0" fontId="6" fillId="0" borderId="64" xfId="2" applyFont="1" applyFill="1" applyBorder="1" applyAlignment="1">
      <alignment horizontal="center" vertical="center" wrapText="1"/>
    </xf>
    <xf numFmtId="0" fontId="6" fillId="0" borderId="56" xfId="2" applyFont="1" applyFill="1" applyBorder="1" applyAlignment="1">
      <alignment horizontal="center" vertical="center" wrapText="1"/>
    </xf>
    <xf numFmtId="3" fontId="7" fillId="9" borderId="25" xfId="0" applyNumberFormat="1" applyFont="1" applyFill="1" applyBorder="1" applyAlignment="1">
      <alignment horizontal="center" vertical="center" wrapText="1"/>
    </xf>
    <xf numFmtId="0" fontId="8" fillId="9" borderId="66" xfId="0" applyFont="1" applyFill="1" applyBorder="1"/>
    <xf numFmtId="3" fontId="7" fillId="9" borderId="70" xfId="0" applyNumberFormat="1" applyFont="1" applyFill="1" applyBorder="1" applyAlignment="1">
      <alignment horizontal="center" vertical="center"/>
    </xf>
    <xf numFmtId="3" fontId="7" fillId="9" borderId="141" xfId="0" applyNumberFormat="1" applyFont="1" applyFill="1" applyBorder="1" applyAlignment="1">
      <alignment horizontal="center" vertical="center"/>
    </xf>
    <xf numFmtId="1" fontId="49" fillId="0" borderId="108" xfId="1" applyFont="1" applyFill="1" applyBorder="1" applyAlignment="1">
      <alignment horizontal="left" vertical="center" wrapText="1" indent="2"/>
    </xf>
    <xf numFmtId="0" fontId="6" fillId="7" borderId="142" xfId="2" applyFont="1" applyFill="1" applyBorder="1" applyAlignment="1">
      <alignment horizontal="center" vertical="center" wrapText="1"/>
    </xf>
    <xf numFmtId="0" fontId="40" fillId="7" borderId="109" xfId="0" applyFont="1" applyFill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/>
    </xf>
    <xf numFmtId="1" fontId="18" fillId="0" borderId="99" xfId="1" applyFont="1" applyFill="1" applyBorder="1" applyAlignment="1">
      <alignment horizontal="left" vertical="center" wrapText="1"/>
    </xf>
    <xf numFmtId="1" fontId="5" fillId="13" borderId="95" xfId="0" applyNumberFormat="1" applyFont="1" applyFill="1" applyBorder="1" applyAlignment="1">
      <alignment horizontal="center" vertical="center"/>
    </xf>
    <xf numFmtId="0" fontId="6" fillId="13" borderId="99" xfId="2" applyFont="1" applyFill="1" applyBorder="1" applyAlignment="1">
      <alignment horizontal="left" vertical="center" wrapText="1"/>
    </xf>
    <xf numFmtId="1" fontId="49" fillId="0" borderId="99" xfId="1" applyFont="1" applyFill="1" applyBorder="1" applyAlignment="1">
      <alignment horizontal="left" vertical="center" wrapText="1" indent="4"/>
    </xf>
    <xf numFmtId="1" fontId="5" fillId="0" borderId="64" xfId="0" applyNumberFormat="1" applyFont="1" applyFill="1" applyBorder="1" applyAlignment="1">
      <alignment horizontal="center" vertical="center"/>
    </xf>
    <xf numFmtId="0" fontId="6" fillId="13" borderId="91" xfId="2" applyFont="1" applyFill="1" applyBorder="1" applyAlignment="1">
      <alignment horizontal="center" vertical="center" wrapText="1"/>
    </xf>
    <xf numFmtId="0" fontId="6" fillId="7" borderId="143" xfId="2" applyFont="1" applyFill="1" applyBorder="1" applyAlignment="1">
      <alignment horizontal="center" vertical="center" wrapText="1"/>
    </xf>
    <xf numFmtId="0" fontId="6" fillId="7" borderId="144" xfId="2" applyFont="1" applyFill="1" applyBorder="1" applyAlignment="1">
      <alignment horizontal="center" vertical="center" wrapText="1"/>
    </xf>
    <xf numFmtId="1" fontId="5" fillId="13" borderId="91" xfId="0" applyNumberFormat="1" applyFont="1" applyFill="1" applyBorder="1" applyAlignment="1">
      <alignment horizontal="center" vertical="center"/>
    </xf>
    <xf numFmtId="1" fontId="30" fillId="0" borderId="145" xfId="0" applyNumberFormat="1" applyFont="1" applyFill="1" applyBorder="1" applyAlignment="1">
      <alignment horizontal="center" vertical="center"/>
    </xf>
    <xf numFmtId="1" fontId="6" fillId="13" borderId="74" xfId="0" applyNumberFormat="1" applyFont="1" applyFill="1" applyBorder="1" applyAlignment="1">
      <alignment horizontal="center" vertical="center"/>
    </xf>
    <xf numFmtId="0" fontId="2" fillId="0" borderId="74" xfId="0" applyFont="1" applyBorder="1"/>
    <xf numFmtId="1" fontId="29" fillId="7" borderId="91" xfId="0" applyNumberFormat="1" applyFont="1" applyFill="1" applyBorder="1" applyAlignment="1">
      <alignment horizontal="center" vertical="center"/>
    </xf>
    <xf numFmtId="1" fontId="29" fillId="0" borderId="91" xfId="0" applyNumberFormat="1" applyFont="1" applyFill="1" applyBorder="1" applyAlignment="1">
      <alignment horizontal="center" vertical="center"/>
    </xf>
    <xf numFmtId="1" fontId="30" fillId="0" borderId="91" xfId="0" applyNumberFormat="1" applyFont="1" applyFill="1" applyBorder="1" applyAlignment="1">
      <alignment horizontal="center" vertical="center"/>
    </xf>
    <xf numFmtId="1" fontId="7" fillId="0" borderId="91" xfId="0" applyNumberFormat="1" applyFont="1" applyFill="1" applyBorder="1" applyAlignment="1">
      <alignment horizontal="center" vertical="center"/>
    </xf>
    <xf numFmtId="0" fontId="6" fillId="7" borderId="21" xfId="2" applyFont="1" applyFill="1" applyBorder="1" applyAlignment="1">
      <alignment horizontal="center" vertical="center" wrapText="1"/>
    </xf>
    <xf numFmtId="0" fontId="6" fillId="16" borderId="64" xfId="2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0" fontId="7" fillId="3" borderId="11" xfId="0" applyFont="1" applyFill="1" applyBorder="1" applyAlignment="1">
      <alignment horizontal="center"/>
    </xf>
    <xf numFmtId="0" fontId="7" fillId="3" borderId="147" xfId="0" applyFont="1" applyFill="1" applyBorder="1" applyAlignment="1">
      <alignment horizontal="center"/>
    </xf>
    <xf numFmtId="0" fontId="6" fillId="7" borderId="111" xfId="2" applyFont="1" applyFill="1" applyBorder="1" applyAlignment="1">
      <alignment horizontal="center" vertical="center" wrapText="1"/>
    </xf>
    <xf numFmtId="0" fontId="6" fillId="7" borderId="132" xfId="2" applyFont="1" applyFill="1" applyBorder="1" applyAlignment="1">
      <alignment horizontal="center" vertical="center" wrapText="1"/>
    </xf>
    <xf numFmtId="0" fontId="6" fillId="7" borderId="150" xfId="2" applyFont="1" applyFill="1" applyBorder="1" applyAlignment="1">
      <alignment horizontal="center" vertical="center" wrapText="1"/>
    </xf>
    <xf numFmtId="0" fontId="6" fillId="7" borderId="107" xfId="2" applyFont="1" applyFill="1" applyBorder="1" applyAlignment="1">
      <alignment horizontal="center" vertical="center" wrapText="1"/>
    </xf>
    <xf numFmtId="0" fontId="6" fillId="7" borderId="151" xfId="2" applyFont="1" applyFill="1" applyBorder="1" applyAlignment="1">
      <alignment horizontal="center" vertical="center" wrapText="1"/>
    </xf>
    <xf numFmtId="0" fontId="6" fillId="7" borderId="152" xfId="2" applyFont="1" applyFill="1" applyBorder="1" applyAlignment="1">
      <alignment horizontal="center" vertical="center" wrapText="1"/>
    </xf>
    <xf numFmtId="3" fontId="6" fillId="7" borderId="109" xfId="2" applyNumberFormat="1" applyFont="1" applyFill="1" applyBorder="1" applyAlignment="1">
      <alignment horizontal="center" vertical="center" wrapText="1"/>
    </xf>
    <xf numFmtId="1" fontId="2" fillId="12" borderId="64" xfId="0" applyNumberFormat="1" applyFont="1" applyFill="1" applyBorder="1"/>
    <xf numFmtId="17" fontId="9" fillId="6" borderId="13" xfId="0" applyNumberFormat="1" applyFont="1" applyFill="1" applyBorder="1" applyAlignment="1">
      <alignment horizontal="center" vertical="center" wrapText="1"/>
    </xf>
    <xf numFmtId="17" fontId="9" fillId="6" borderId="21" xfId="0" applyNumberFormat="1" applyFont="1" applyFill="1" applyBorder="1" applyAlignment="1">
      <alignment horizontal="center" vertical="center" wrapText="1"/>
    </xf>
    <xf numFmtId="17" fontId="9" fillId="6" borderId="14" xfId="0" applyNumberFormat="1" applyFont="1" applyFill="1" applyBorder="1" applyAlignment="1">
      <alignment horizontal="center" vertical="center" wrapText="1"/>
    </xf>
    <xf numFmtId="17" fontId="9" fillId="6" borderId="22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5" fontId="8" fillId="4" borderId="9" xfId="0" applyNumberFormat="1" applyFont="1" applyFill="1" applyBorder="1" applyAlignment="1">
      <alignment horizontal="center" vertical="center"/>
    </xf>
    <xf numFmtId="15" fontId="8" fillId="4" borderId="17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" fontId="9" fillId="6" borderId="12" xfId="0" applyNumberFormat="1" applyFont="1" applyFill="1" applyBorder="1" applyAlignment="1">
      <alignment horizontal="center" vertical="center" wrapText="1"/>
    </xf>
    <xf numFmtId="17" fontId="9" fillId="6" borderId="20" xfId="0" applyNumberFormat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14" borderId="115" xfId="0" applyFont="1" applyFill="1" applyBorder="1" applyAlignment="1">
      <alignment horizontal="center" vertical="center" wrapText="1"/>
    </xf>
    <xf numFmtId="0" fontId="8" fillId="14" borderId="116" xfId="0" applyFont="1" applyFill="1" applyBorder="1" applyAlignment="1">
      <alignment horizontal="center" vertical="center" wrapText="1"/>
    </xf>
    <xf numFmtId="0" fontId="8" fillId="14" borderId="11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1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17" fontId="9" fillId="8" borderId="13" xfId="0" applyNumberFormat="1" applyFont="1" applyFill="1" applyBorder="1" applyAlignment="1">
      <alignment horizontal="center" vertical="center" wrapText="1"/>
    </xf>
    <xf numFmtId="17" fontId="9" fillId="8" borderId="21" xfId="0" applyNumberFormat="1" applyFont="1" applyFill="1" applyBorder="1" applyAlignment="1">
      <alignment horizontal="center" vertical="center" wrapText="1"/>
    </xf>
    <xf numFmtId="0" fontId="6" fillId="5" borderId="91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7" fillId="3" borderId="149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7" fillId="3" borderId="14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14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17" fontId="9" fillId="6" borderId="113" xfId="0" applyNumberFormat="1" applyFont="1" applyFill="1" applyBorder="1" applyAlignment="1">
      <alignment horizontal="center" vertical="center" wrapText="1"/>
    </xf>
    <xf numFmtId="17" fontId="9" fillId="6" borderId="68" xfId="0" applyNumberFormat="1" applyFont="1" applyFill="1" applyBorder="1" applyAlignment="1">
      <alignment horizontal="center" vertical="center" wrapText="1"/>
    </xf>
    <xf numFmtId="17" fontId="9" fillId="6" borderId="98" xfId="0" applyNumberFormat="1" applyFont="1" applyFill="1" applyBorder="1" applyAlignment="1">
      <alignment horizontal="center" vertical="center" wrapText="1"/>
    </xf>
    <xf numFmtId="17" fontId="9" fillId="17" borderId="111" xfId="0" applyNumberFormat="1" applyFont="1" applyFill="1" applyBorder="1" applyAlignment="1">
      <alignment horizontal="center" vertical="center" wrapText="1"/>
    </xf>
    <xf numFmtId="17" fontId="9" fillId="17" borderId="109" xfId="0" applyNumberFormat="1" applyFont="1" applyFill="1" applyBorder="1" applyAlignment="1">
      <alignment horizontal="center" vertical="center" wrapText="1"/>
    </xf>
    <xf numFmtId="17" fontId="9" fillId="8" borderId="110" xfId="0" applyNumberFormat="1" applyFont="1" applyFill="1" applyBorder="1" applyAlignment="1">
      <alignment horizontal="center" vertical="center" wrapText="1"/>
    </xf>
    <xf numFmtId="17" fontId="9" fillId="8" borderId="108" xfId="0" applyNumberFormat="1" applyFont="1" applyFill="1" applyBorder="1" applyAlignment="1">
      <alignment horizontal="center" vertical="center" wrapText="1"/>
    </xf>
    <xf numFmtId="17" fontId="9" fillId="8" borderId="111" xfId="0" applyNumberFormat="1" applyFont="1" applyFill="1" applyBorder="1" applyAlignment="1">
      <alignment horizontal="center" vertical="center" wrapText="1"/>
    </xf>
    <xf numFmtId="17" fontId="9" fillId="8" borderId="109" xfId="0" applyNumberFormat="1" applyFont="1" applyFill="1" applyBorder="1" applyAlignment="1">
      <alignment horizontal="center" vertical="center" wrapText="1"/>
    </xf>
    <xf numFmtId="17" fontId="9" fillId="16" borderId="111" xfId="0" applyNumberFormat="1" applyFont="1" applyFill="1" applyBorder="1" applyAlignment="1">
      <alignment horizontal="center" vertical="center" wrapText="1"/>
    </xf>
    <xf numFmtId="17" fontId="9" fillId="16" borderId="109" xfId="0" applyNumberFormat="1" applyFont="1" applyFill="1" applyBorder="1" applyAlignment="1">
      <alignment horizontal="center" vertical="center" wrapText="1"/>
    </xf>
    <xf numFmtId="17" fontId="9" fillId="17" borderId="30" xfId="0" applyNumberFormat="1" applyFont="1" applyFill="1" applyBorder="1" applyAlignment="1">
      <alignment horizontal="center" vertical="center" wrapText="1"/>
    </xf>
    <xf numFmtId="17" fontId="9" fillId="17" borderId="88" xfId="0" applyNumberFormat="1" applyFont="1" applyFill="1" applyBorder="1" applyAlignment="1">
      <alignment horizontal="center" vertical="center" wrapText="1"/>
    </xf>
    <xf numFmtId="17" fontId="9" fillId="8" borderId="29" xfId="0" applyNumberFormat="1" applyFont="1" applyFill="1" applyBorder="1" applyAlignment="1">
      <alignment horizontal="center" vertical="center" wrapText="1"/>
    </xf>
    <xf numFmtId="17" fontId="9" fillId="8" borderId="87" xfId="0" applyNumberFormat="1" applyFont="1" applyFill="1" applyBorder="1" applyAlignment="1">
      <alignment horizontal="center" vertical="center" wrapText="1"/>
    </xf>
    <xf numFmtId="17" fontId="9" fillId="16" borderId="112" xfId="0" applyNumberFormat="1" applyFont="1" applyFill="1" applyBorder="1" applyAlignment="1">
      <alignment horizontal="center" vertical="center" wrapText="1"/>
    </xf>
    <xf numFmtId="17" fontId="9" fillId="16" borderId="90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Sheet1" xfId="1"/>
    <cellStyle name="Normal_Sheet1_Sheet1" xfId="2"/>
  </cellStyles>
  <dxfs count="3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.croydon.net/Documents%20and%20Settings/785837/Local%20Settings/Temporary%20Internet%20Files/Content.Outlook/J0Z6QWDC/14-15%20final%20out-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D"/>
      <sheetName val="List band and bedsize"/>
      <sheetName val="List totals"/>
    </sheetNames>
    <sheetDataSet>
      <sheetData sheetId="0" refreshError="1">
        <row r="11">
          <cell r="E11">
            <v>93</v>
          </cell>
        </row>
        <row r="36">
          <cell r="E36">
            <v>3</v>
          </cell>
        </row>
        <row r="136">
          <cell r="E136">
            <v>488</v>
          </cell>
        </row>
        <row r="138">
          <cell r="E138">
            <v>300</v>
          </cell>
        </row>
        <row r="140">
          <cell r="E140">
            <v>88</v>
          </cell>
        </row>
        <row r="142">
          <cell r="E142">
            <v>100</v>
          </cell>
        </row>
        <row r="144">
          <cell r="E144">
            <v>258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T210"/>
  <sheetViews>
    <sheetView showGridLines="0" view="pageBreakPreview" zoomScale="106" zoomScaleNormal="112" zoomScaleSheetLayoutView="106" workbookViewId="0">
      <pane ySplit="4" topLeftCell="A112" activePane="bottomLeft" state="frozen"/>
      <selection pane="bottomLeft" activeCell="B51" sqref="B51"/>
    </sheetView>
  </sheetViews>
  <sheetFormatPr defaultColWidth="8.88671875" defaultRowHeight="13.2" x14ac:dyDescent="0.25"/>
  <cols>
    <col min="1" max="1" width="32.6640625" style="2" customWidth="1"/>
    <col min="2" max="2" width="14.33203125" style="35" customWidth="1"/>
    <col min="3" max="3" width="8.5546875" style="35" customWidth="1"/>
    <col min="4" max="4" width="11.5546875" style="171" customWidth="1"/>
    <col min="5" max="5" width="9.109375" style="110" customWidth="1"/>
    <col min="6" max="6" width="9" style="110" customWidth="1"/>
    <col min="7" max="7" width="13.33203125" customWidth="1"/>
    <col min="8" max="8" width="6.44140625" style="85" customWidth="1"/>
    <col min="9" max="9" width="6.5546875" style="2" customWidth="1"/>
    <col min="10" max="19" width="6.33203125" style="2" customWidth="1"/>
    <col min="20" max="16384" width="8.88671875" style="2"/>
  </cols>
  <sheetData>
    <row r="1" spans="1:20" ht="16.2" thickBot="1" x14ac:dyDescent="0.35">
      <c r="A1" s="1">
        <v>42825</v>
      </c>
      <c r="B1" s="2"/>
      <c r="C1" s="2"/>
      <c r="D1" s="2"/>
      <c r="E1" s="2"/>
      <c r="F1" s="2"/>
      <c r="G1" s="2"/>
      <c r="H1" s="2"/>
    </row>
    <row r="2" spans="1:20" ht="24" customHeight="1" thickBot="1" x14ac:dyDescent="0.3">
      <c r="A2" s="414" t="s">
        <v>0</v>
      </c>
      <c r="B2" s="416" t="s">
        <v>1</v>
      </c>
      <c r="C2" s="417"/>
      <c r="D2" s="418" t="s">
        <v>2</v>
      </c>
      <c r="E2" s="419"/>
      <c r="F2" s="419"/>
      <c r="G2" s="420"/>
      <c r="H2" s="421" t="s">
        <v>3</v>
      </c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3"/>
    </row>
    <row r="3" spans="1:20" ht="14.4" thickTop="1" x14ac:dyDescent="0.3">
      <c r="A3" s="415"/>
      <c r="B3" s="3" t="s">
        <v>4</v>
      </c>
      <c r="C3" s="424" t="s">
        <v>5</v>
      </c>
      <c r="D3" s="426" t="s">
        <v>6</v>
      </c>
      <c r="E3" s="428" t="s">
        <v>7</v>
      </c>
      <c r="F3" s="428" t="s">
        <v>8</v>
      </c>
      <c r="G3" s="430" t="s">
        <v>9</v>
      </c>
      <c r="H3" s="432">
        <v>42461</v>
      </c>
      <c r="I3" s="410">
        <v>42491</v>
      </c>
      <c r="J3" s="410">
        <v>42522</v>
      </c>
      <c r="K3" s="410">
        <v>42552</v>
      </c>
      <c r="L3" s="410">
        <v>42583</v>
      </c>
      <c r="M3" s="410">
        <v>42614</v>
      </c>
      <c r="N3" s="410">
        <v>42644</v>
      </c>
      <c r="O3" s="410">
        <v>42675</v>
      </c>
      <c r="P3" s="410">
        <v>42705</v>
      </c>
      <c r="Q3" s="410">
        <v>42736</v>
      </c>
      <c r="R3" s="410">
        <v>42767</v>
      </c>
      <c r="S3" s="412">
        <v>42795</v>
      </c>
    </row>
    <row r="4" spans="1:20" ht="14.4" thickBot="1" x14ac:dyDescent="0.35">
      <c r="A4" s="415"/>
      <c r="B4" s="4" t="s">
        <v>10</v>
      </c>
      <c r="C4" s="425"/>
      <c r="D4" s="427"/>
      <c r="E4" s="429"/>
      <c r="F4" s="429"/>
      <c r="G4" s="431"/>
      <c r="H4" s="433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3"/>
    </row>
    <row r="5" spans="1:20" ht="16.2" thickBot="1" x14ac:dyDescent="0.35">
      <c r="A5" s="5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20" ht="15" x14ac:dyDescent="0.25">
      <c r="A6" s="8" t="s">
        <v>12</v>
      </c>
      <c r="B6" s="9">
        <v>113</v>
      </c>
      <c r="C6" s="9">
        <v>113</v>
      </c>
      <c r="D6" s="10"/>
      <c r="E6" s="11">
        <v>82</v>
      </c>
      <c r="F6" s="12">
        <f>IF((SUM(H6:VF6))=0,"",(SUM(H6:VF6)))</f>
        <v>902</v>
      </c>
      <c r="G6" s="13"/>
      <c r="H6" s="14"/>
      <c r="I6" s="15">
        <v>82</v>
      </c>
      <c r="J6" s="15">
        <v>82</v>
      </c>
      <c r="K6" s="15">
        <v>82</v>
      </c>
      <c r="L6" s="15">
        <v>82</v>
      </c>
      <c r="M6" s="15">
        <v>82</v>
      </c>
      <c r="N6" s="15">
        <v>82</v>
      </c>
      <c r="O6" s="15">
        <v>82</v>
      </c>
      <c r="P6" s="15">
        <v>82</v>
      </c>
      <c r="Q6" s="15">
        <v>82</v>
      </c>
      <c r="R6" s="15">
        <v>82</v>
      </c>
      <c r="S6" s="16">
        <v>82</v>
      </c>
    </row>
    <row r="7" spans="1:20" ht="13.5" customHeight="1" x14ac:dyDescent="0.25">
      <c r="A7" s="17"/>
      <c r="B7" s="17"/>
      <c r="C7" s="17"/>
      <c r="D7" s="17"/>
      <c r="E7" s="17"/>
      <c r="F7" s="17" t="str">
        <f t="shared" ref="F7:F53" si="0">IF((SUM(H7:VF7))=0,"",(SUM(H7:VF7)))</f>
        <v/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1:20" ht="13.8" x14ac:dyDescent="0.25">
      <c r="A8" s="19" t="s">
        <v>13</v>
      </c>
      <c r="B8" s="20">
        <f>SUM(B9:B13)</f>
        <v>364</v>
      </c>
      <c r="C8" s="20">
        <v>480</v>
      </c>
      <c r="D8" s="21">
        <v>441</v>
      </c>
      <c r="E8" s="22" t="e">
        <f>P8/A131*52</f>
        <v>#DIV/0!</v>
      </c>
      <c r="F8" s="23">
        <f t="shared" si="0"/>
        <v>3096</v>
      </c>
      <c r="G8" s="24"/>
      <c r="H8" s="25"/>
      <c r="I8" s="26">
        <f t="shared" ref="I8" si="1">SUM(I9:I13)</f>
        <v>97</v>
      </c>
      <c r="J8" s="26">
        <f t="shared" ref="J8:P8" si="2">SUM(J9:J13)</f>
        <v>142</v>
      </c>
      <c r="K8" s="26">
        <f t="shared" si="2"/>
        <v>174</v>
      </c>
      <c r="L8" s="26">
        <f t="shared" si="2"/>
        <v>207</v>
      </c>
      <c r="M8" s="26">
        <f t="shared" si="2"/>
        <v>242</v>
      </c>
      <c r="N8" s="26">
        <f t="shared" si="2"/>
        <v>285</v>
      </c>
      <c r="O8" s="26">
        <f t="shared" si="2"/>
        <v>321</v>
      </c>
      <c r="P8" s="26">
        <f t="shared" si="2"/>
        <v>348</v>
      </c>
      <c r="Q8" s="26">
        <v>392</v>
      </c>
      <c r="R8" s="202">
        <f>(Q8+S8)/2</f>
        <v>418</v>
      </c>
      <c r="S8" s="27">
        <f>SUM(S9:S13)</f>
        <v>444</v>
      </c>
      <c r="T8" s="2">
        <f>S8-R8</f>
        <v>26</v>
      </c>
    </row>
    <row r="9" spans="1:20" ht="13.8" x14ac:dyDescent="0.25">
      <c r="A9" s="19" t="s">
        <v>14</v>
      </c>
      <c r="B9" s="20">
        <v>83</v>
      </c>
      <c r="C9" s="20"/>
      <c r="D9" s="21">
        <v>115</v>
      </c>
      <c r="E9" s="22" t="e">
        <f>P9/A131*52</f>
        <v>#DIV/0!</v>
      </c>
      <c r="F9" s="23">
        <f t="shared" si="0"/>
        <v>1019</v>
      </c>
      <c r="G9" s="24"/>
      <c r="H9" s="25"/>
      <c r="I9" s="26">
        <v>37</v>
      </c>
      <c r="J9" s="26">
        <v>54</v>
      </c>
      <c r="K9" s="26">
        <v>60</v>
      </c>
      <c r="L9" s="26">
        <v>71</v>
      </c>
      <c r="M9" s="26">
        <v>79</v>
      </c>
      <c r="N9" s="26">
        <v>91</v>
      </c>
      <c r="O9" s="26">
        <v>98</v>
      </c>
      <c r="P9" s="26">
        <v>108</v>
      </c>
      <c r="Q9" s="26">
        <v>129</v>
      </c>
      <c r="R9" s="202">
        <f t="shared" ref="R9:R13" si="3">(Q9+S9)/2</f>
        <v>137.5</v>
      </c>
      <c r="S9" s="27">
        <v>146</v>
      </c>
      <c r="T9" s="206">
        <f>S9-R9</f>
        <v>8.5</v>
      </c>
    </row>
    <row r="10" spans="1:20" ht="13.8" x14ac:dyDescent="0.25">
      <c r="A10" s="19" t="s">
        <v>15</v>
      </c>
      <c r="B10" s="20">
        <v>115</v>
      </c>
      <c r="C10" s="20"/>
      <c r="D10" s="21">
        <v>141</v>
      </c>
      <c r="E10" s="22" t="e">
        <f>P10/A131*52</f>
        <v>#DIV/0!</v>
      </c>
      <c r="F10" s="23">
        <f t="shared" si="0"/>
        <v>867</v>
      </c>
      <c r="G10" s="24"/>
      <c r="H10" s="25"/>
      <c r="I10" s="26">
        <v>24</v>
      </c>
      <c r="J10" s="26">
        <v>37</v>
      </c>
      <c r="K10" s="26">
        <v>47</v>
      </c>
      <c r="L10" s="26">
        <v>59</v>
      </c>
      <c r="M10" s="26">
        <v>67</v>
      </c>
      <c r="N10" s="26">
        <v>80</v>
      </c>
      <c r="O10" s="26">
        <v>93</v>
      </c>
      <c r="P10" s="26">
        <v>100</v>
      </c>
      <c r="Q10" s="26">
        <v>110</v>
      </c>
      <c r="R10" s="202">
        <f t="shared" si="3"/>
        <v>117.5</v>
      </c>
      <c r="S10" s="27">
        <v>125</v>
      </c>
      <c r="T10" s="2">
        <f t="shared" ref="T10:T72" si="4">S10-R10</f>
        <v>7.5</v>
      </c>
    </row>
    <row r="11" spans="1:20" ht="13.8" x14ac:dyDescent="0.25">
      <c r="A11" s="19" t="s">
        <v>16</v>
      </c>
      <c r="B11" s="20">
        <v>95</v>
      </c>
      <c r="C11" s="20"/>
      <c r="D11" s="21">
        <v>101</v>
      </c>
      <c r="E11" s="22" t="e">
        <f>P11/A131*52</f>
        <v>#DIV/0!</v>
      </c>
      <c r="F11" s="23">
        <f t="shared" si="0"/>
        <v>646</v>
      </c>
      <c r="G11" s="24"/>
      <c r="H11" s="25"/>
      <c r="I11" s="26">
        <v>22</v>
      </c>
      <c r="J11" s="26">
        <v>27</v>
      </c>
      <c r="K11" s="26">
        <v>36</v>
      </c>
      <c r="L11" s="26">
        <v>43</v>
      </c>
      <c r="M11" s="26">
        <v>49</v>
      </c>
      <c r="N11" s="26">
        <v>60</v>
      </c>
      <c r="O11" s="26">
        <v>69</v>
      </c>
      <c r="P11" s="26">
        <v>73</v>
      </c>
      <c r="Q11" s="26">
        <v>81</v>
      </c>
      <c r="R11" s="202">
        <f t="shared" si="3"/>
        <v>87</v>
      </c>
      <c r="S11" s="27">
        <v>93</v>
      </c>
      <c r="T11" s="2">
        <f t="shared" si="4"/>
        <v>6</v>
      </c>
    </row>
    <row r="12" spans="1:20" ht="13.8" x14ac:dyDescent="0.25">
      <c r="A12" s="19" t="s">
        <v>17</v>
      </c>
      <c r="B12" s="20">
        <v>62</v>
      </c>
      <c r="C12" s="20"/>
      <c r="D12" s="21">
        <v>80</v>
      </c>
      <c r="E12" s="22" t="e">
        <f>P12/A131*52</f>
        <v>#DIV/0!</v>
      </c>
      <c r="F12" s="23">
        <f t="shared" si="0"/>
        <v>536</v>
      </c>
      <c r="G12" s="24"/>
      <c r="H12" s="25"/>
      <c r="I12" s="26">
        <v>14</v>
      </c>
      <c r="J12" s="26">
        <v>24</v>
      </c>
      <c r="K12" s="26">
        <v>31</v>
      </c>
      <c r="L12" s="26">
        <v>34</v>
      </c>
      <c r="M12" s="26">
        <v>45</v>
      </c>
      <c r="N12" s="26">
        <v>52</v>
      </c>
      <c r="O12" s="26">
        <v>57</v>
      </c>
      <c r="P12" s="26">
        <v>63</v>
      </c>
      <c r="Q12" s="26">
        <v>68</v>
      </c>
      <c r="R12" s="202">
        <f t="shared" si="3"/>
        <v>71</v>
      </c>
      <c r="S12" s="27">
        <v>74</v>
      </c>
      <c r="T12" s="2">
        <f t="shared" si="4"/>
        <v>3</v>
      </c>
    </row>
    <row r="13" spans="1:20" ht="13.8" x14ac:dyDescent="0.25">
      <c r="A13" s="19" t="s">
        <v>18</v>
      </c>
      <c r="B13" s="20">
        <v>9</v>
      </c>
      <c r="C13" s="20"/>
      <c r="D13" s="21">
        <v>4</v>
      </c>
      <c r="E13" s="22" t="e">
        <f>P13/A131*52</f>
        <v>#DIV/0!</v>
      </c>
      <c r="F13" s="23">
        <f t="shared" si="0"/>
        <v>28</v>
      </c>
      <c r="G13" s="24"/>
      <c r="H13" s="25"/>
      <c r="I13" s="26">
        <v>0</v>
      </c>
      <c r="J13" s="26">
        <v>0</v>
      </c>
      <c r="K13" s="26">
        <v>0</v>
      </c>
      <c r="L13" s="26">
        <v>0</v>
      </c>
      <c r="M13" s="26">
        <v>2</v>
      </c>
      <c r="N13" s="26">
        <v>2</v>
      </c>
      <c r="O13" s="26">
        <v>4</v>
      </c>
      <c r="P13" s="26">
        <v>4</v>
      </c>
      <c r="Q13" s="26">
        <v>4</v>
      </c>
      <c r="R13" s="26">
        <f t="shared" si="3"/>
        <v>5</v>
      </c>
      <c r="S13" s="27">
        <v>6</v>
      </c>
      <c r="T13" s="2">
        <f t="shared" si="4"/>
        <v>1</v>
      </c>
    </row>
    <row r="14" spans="1:20" x14ac:dyDescent="0.25">
      <c r="A14" s="28"/>
      <c r="B14" s="29"/>
      <c r="C14" s="17"/>
      <c r="D14" s="17"/>
      <c r="E14" s="17"/>
      <c r="F14" s="17" t="str">
        <f t="shared" si="0"/>
        <v/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2">
        <f t="shared" si="4"/>
        <v>0</v>
      </c>
    </row>
    <row r="15" spans="1:20" ht="13.8" x14ac:dyDescent="0.25">
      <c r="A15" s="19" t="s">
        <v>19</v>
      </c>
      <c r="B15" s="29"/>
      <c r="C15" s="17"/>
      <c r="D15" s="17"/>
      <c r="E15" s="17"/>
      <c r="F15" s="17" t="str">
        <f t="shared" si="0"/>
        <v/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2">
        <f t="shared" si="4"/>
        <v>0</v>
      </c>
    </row>
    <row r="16" spans="1:20" ht="13.8" x14ac:dyDescent="0.25">
      <c r="A16" s="19" t="s">
        <v>20</v>
      </c>
      <c r="B16" s="20">
        <v>4</v>
      </c>
      <c r="C16" s="20">
        <v>8</v>
      </c>
      <c r="D16" s="21">
        <v>6</v>
      </c>
      <c r="E16" s="22" t="e">
        <f>P16/A131*52</f>
        <v>#DIV/0!</v>
      </c>
      <c r="F16" s="23" t="str">
        <f t="shared" si="0"/>
        <v/>
      </c>
      <c r="G16" s="24"/>
      <c r="H16" s="25"/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30">
        <v>0</v>
      </c>
      <c r="T16" s="2">
        <f t="shared" si="4"/>
        <v>0</v>
      </c>
    </row>
    <row r="17" spans="1:20" x14ac:dyDescent="0.25">
      <c r="A17" s="28"/>
      <c r="B17" s="29"/>
      <c r="C17" s="29"/>
      <c r="D17" s="31"/>
      <c r="E17" s="32"/>
      <c r="F17" s="33" t="str">
        <f t="shared" si="0"/>
        <v/>
      </c>
      <c r="G17" s="34"/>
      <c r="H17" s="3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2">
        <f t="shared" si="4"/>
        <v>0</v>
      </c>
    </row>
    <row r="18" spans="1:20" ht="27.6" x14ac:dyDescent="0.25">
      <c r="A18" s="19" t="s">
        <v>21</v>
      </c>
      <c r="B18" s="20">
        <v>163</v>
      </c>
      <c r="C18" s="20">
        <v>206</v>
      </c>
      <c r="D18" s="21">
        <v>195</v>
      </c>
      <c r="E18" s="22" t="e">
        <f>P18/A131*52</f>
        <v>#DIV/0!</v>
      </c>
      <c r="F18" s="23">
        <f t="shared" si="0"/>
        <v>1321</v>
      </c>
      <c r="G18" s="24"/>
      <c r="H18" s="25"/>
      <c r="I18" s="26">
        <v>30</v>
      </c>
      <c r="J18" s="26">
        <v>51</v>
      </c>
      <c r="K18" s="26">
        <v>66</v>
      </c>
      <c r="L18" s="26">
        <v>88</v>
      </c>
      <c r="M18" s="26">
        <v>111</v>
      </c>
      <c r="N18" s="26">
        <v>127</v>
      </c>
      <c r="O18" s="26">
        <v>139</v>
      </c>
      <c r="P18" s="26">
        <v>157</v>
      </c>
      <c r="Q18" s="26">
        <v>168</v>
      </c>
      <c r="R18" s="26">
        <f>(Q18+S18)/2</f>
        <v>180</v>
      </c>
      <c r="S18" s="27">
        <v>192</v>
      </c>
      <c r="T18" s="2">
        <f t="shared" si="4"/>
        <v>12</v>
      </c>
    </row>
    <row r="19" spans="1:20" s="36" customFormat="1" ht="27.6" x14ac:dyDescent="0.25">
      <c r="A19" s="19" t="s">
        <v>22</v>
      </c>
      <c r="B19" s="20">
        <v>203</v>
      </c>
      <c r="C19" s="20">
        <v>222</v>
      </c>
      <c r="D19" s="21">
        <v>157</v>
      </c>
      <c r="E19" s="22" t="e">
        <f>P19/A131*52</f>
        <v>#DIV/0!</v>
      </c>
      <c r="F19" s="23">
        <f t="shared" si="0"/>
        <v>976</v>
      </c>
      <c r="G19" s="24"/>
      <c r="H19" s="25"/>
      <c r="I19" s="26">
        <v>32</v>
      </c>
      <c r="J19" s="26">
        <v>51</v>
      </c>
      <c r="K19" s="26">
        <v>53</v>
      </c>
      <c r="L19" s="26">
        <v>92</v>
      </c>
      <c r="M19" s="26">
        <v>98</v>
      </c>
      <c r="N19" s="26">
        <v>100</v>
      </c>
      <c r="O19" s="26">
        <v>102</v>
      </c>
      <c r="P19" s="26">
        <v>107</v>
      </c>
      <c r="Q19" s="26">
        <v>107</v>
      </c>
      <c r="R19" s="26">
        <f>(Q19+S19)/2</f>
        <v>112</v>
      </c>
      <c r="S19" s="27">
        <v>117</v>
      </c>
      <c r="T19" s="2">
        <f t="shared" si="4"/>
        <v>5</v>
      </c>
    </row>
    <row r="20" spans="1:20" x14ac:dyDescent="0.25">
      <c r="A20" s="17"/>
      <c r="B20" s="17"/>
      <c r="C20" s="17"/>
      <c r="D20" s="17"/>
      <c r="E20" s="17"/>
      <c r="F20" s="17" t="str">
        <f t="shared" si="0"/>
        <v/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2">
        <f t="shared" si="4"/>
        <v>0</v>
      </c>
    </row>
    <row r="21" spans="1:20" ht="13.8" x14ac:dyDescent="0.25">
      <c r="A21" s="19" t="s">
        <v>23</v>
      </c>
      <c r="B21" s="20">
        <v>58</v>
      </c>
      <c r="C21" s="20">
        <v>58</v>
      </c>
      <c r="D21" s="21">
        <v>0</v>
      </c>
      <c r="E21" s="22"/>
      <c r="F21" s="23" t="str">
        <f t="shared" si="0"/>
        <v/>
      </c>
      <c r="G21" s="24"/>
      <c r="H21" s="25"/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30">
        <v>0</v>
      </c>
      <c r="T21" s="2">
        <f t="shared" si="4"/>
        <v>0</v>
      </c>
    </row>
    <row r="22" spans="1:20" x14ac:dyDescent="0.25">
      <c r="A22" s="17"/>
      <c r="B22" s="17"/>
      <c r="C22" s="17"/>
      <c r="D22" s="17"/>
      <c r="E22" s="17"/>
      <c r="F22" s="17" t="str">
        <f t="shared" si="0"/>
        <v/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2">
        <f t="shared" si="4"/>
        <v>0</v>
      </c>
    </row>
    <row r="23" spans="1:20" ht="15" thickBot="1" x14ac:dyDescent="0.3">
      <c r="A23" s="37" t="s">
        <v>24</v>
      </c>
      <c r="B23" s="20">
        <v>259</v>
      </c>
      <c r="C23" s="20">
        <v>82</v>
      </c>
      <c r="D23" s="21"/>
      <c r="E23" s="22"/>
      <c r="F23" s="23">
        <f t="shared" si="0"/>
        <v>753</v>
      </c>
      <c r="G23" s="24"/>
      <c r="H23" s="25"/>
      <c r="I23" s="26">
        <v>138</v>
      </c>
      <c r="J23" s="26">
        <v>148</v>
      </c>
      <c r="K23" s="26">
        <v>53</v>
      </c>
      <c r="L23" s="26">
        <v>87</v>
      </c>
      <c r="M23" s="26">
        <v>66</v>
      </c>
      <c r="N23" s="26">
        <v>54</v>
      </c>
      <c r="O23" s="26">
        <v>52</v>
      </c>
      <c r="P23" s="26">
        <v>31</v>
      </c>
      <c r="Q23" s="26">
        <v>44</v>
      </c>
      <c r="R23" s="26">
        <f t="shared" ref="R23" si="5">(Q23+S23)/2</f>
        <v>42</v>
      </c>
      <c r="S23" s="27">
        <v>40</v>
      </c>
      <c r="T23" s="2">
        <f t="shared" si="4"/>
        <v>-2</v>
      </c>
    </row>
    <row r="24" spans="1:20" ht="14.4" thickBot="1" x14ac:dyDescent="0.35">
      <c r="A24" s="38" t="s">
        <v>25</v>
      </c>
      <c r="B24" s="39">
        <f>B6+B8+B18+B19+B21-B23</f>
        <v>642</v>
      </c>
      <c r="C24" s="39">
        <f>C6+C8+C18+C19+C21-C23</f>
        <v>997</v>
      </c>
      <c r="D24" s="40">
        <f>SUM(D8,D16,D18,D19,D21)</f>
        <v>799</v>
      </c>
      <c r="E24" s="41" t="e">
        <f>E6+E8+E18+E19+E21-E23</f>
        <v>#DIV/0!</v>
      </c>
      <c r="F24" s="42">
        <f t="shared" si="0"/>
        <v>5538</v>
      </c>
      <c r="G24" s="43"/>
      <c r="H24" s="40"/>
      <c r="I24" s="44">
        <f>I6+I8+I18+I19+I21-I23</f>
        <v>103</v>
      </c>
      <c r="J24" s="44">
        <f t="shared" ref="J24:N24" si="6">J6+J8+J18+J19+J21-J23</f>
        <v>178</v>
      </c>
      <c r="K24" s="44">
        <f t="shared" si="6"/>
        <v>322</v>
      </c>
      <c r="L24" s="44">
        <f t="shared" si="6"/>
        <v>382</v>
      </c>
      <c r="M24" s="44">
        <f t="shared" si="6"/>
        <v>467</v>
      </c>
      <c r="N24" s="44">
        <f t="shared" si="6"/>
        <v>540</v>
      </c>
      <c r="O24" s="45">
        <f t="shared" ref="O24:Q24" si="7">O6+O8+O18+O19+O21-O23</f>
        <v>592</v>
      </c>
      <c r="P24" s="45">
        <f t="shared" si="7"/>
        <v>663</v>
      </c>
      <c r="Q24" s="45">
        <f t="shared" si="7"/>
        <v>705</v>
      </c>
      <c r="R24" s="45">
        <f>R6+R8+R18+R19+R21-R23</f>
        <v>750</v>
      </c>
      <c r="S24" s="45">
        <f>SUM(S8,S18,S19,S21,S23)</f>
        <v>793</v>
      </c>
      <c r="T24" s="2">
        <f t="shared" si="4"/>
        <v>43</v>
      </c>
    </row>
    <row r="25" spans="1:20" ht="12" customHeight="1" x14ac:dyDescent="0.25">
      <c r="A25" s="28"/>
      <c r="B25" s="17"/>
      <c r="C25" s="17"/>
      <c r="D25" s="17"/>
      <c r="E25" s="17"/>
      <c r="F25" s="17" t="str">
        <f t="shared" si="0"/>
        <v/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2">
        <f t="shared" si="4"/>
        <v>0</v>
      </c>
    </row>
    <row r="26" spans="1:20" ht="24.75" customHeight="1" x14ac:dyDescent="0.25">
      <c r="A26" s="19" t="s">
        <v>26</v>
      </c>
      <c r="B26" s="20">
        <v>87</v>
      </c>
      <c r="C26" s="20">
        <v>106</v>
      </c>
      <c r="D26" s="21">
        <v>300</v>
      </c>
      <c r="E26" s="22" t="e">
        <f>P26/A131*52</f>
        <v>#DIV/0!</v>
      </c>
      <c r="F26" s="22">
        <f t="shared" si="0"/>
        <v>981</v>
      </c>
      <c r="G26" s="24"/>
      <c r="H26" s="46"/>
      <c r="I26" s="26">
        <v>58</v>
      </c>
      <c r="J26" s="26">
        <v>66</v>
      </c>
      <c r="K26" s="26">
        <v>68</v>
      </c>
      <c r="L26" s="26">
        <v>69</v>
      </c>
      <c r="M26" s="26">
        <v>75</v>
      </c>
      <c r="N26" s="26">
        <v>77</v>
      </c>
      <c r="O26" s="26">
        <v>86</v>
      </c>
      <c r="P26" s="26">
        <v>95</v>
      </c>
      <c r="Q26" s="26">
        <v>87</v>
      </c>
      <c r="R26" s="202">
        <f t="shared" ref="R26" si="8">(Q26+S26)/2</f>
        <v>118.5</v>
      </c>
      <c r="S26" s="27">
        <v>150</v>
      </c>
      <c r="T26" s="2">
        <f t="shared" si="4"/>
        <v>31.5</v>
      </c>
    </row>
    <row r="27" spans="1:20" ht="14.4" thickBot="1" x14ac:dyDescent="0.35">
      <c r="A27" s="19" t="s">
        <v>27</v>
      </c>
      <c r="B27" s="20">
        <v>0</v>
      </c>
      <c r="C27" s="20">
        <f t="array" ref="C27">'[1]S&amp;D'!$E$36</f>
        <v>3</v>
      </c>
      <c r="D27" s="21"/>
      <c r="E27" s="22" t="e">
        <f>P27/A131*52</f>
        <v>#DIV/0!</v>
      </c>
      <c r="F27" s="47">
        <f t="shared" si="0"/>
        <v>41</v>
      </c>
      <c r="G27" s="24"/>
      <c r="H27" s="26">
        <v>2</v>
      </c>
      <c r="I27" s="26">
        <v>2</v>
      </c>
      <c r="J27" s="26">
        <v>4</v>
      </c>
      <c r="K27" s="26">
        <v>9</v>
      </c>
      <c r="L27" s="26">
        <v>2</v>
      </c>
      <c r="M27" s="26">
        <v>9</v>
      </c>
      <c r="N27" s="26">
        <v>6</v>
      </c>
      <c r="O27" s="26">
        <v>1</v>
      </c>
      <c r="P27" s="26">
        <v>1</v>
      </c>
      <c r="Q27" s="26">
        <v>5</v>
      </c>
      <c r="R27" s="26">
        <v>1</v>
      </c>
      <c r="S27" s="26">
        <v>0</v>
      </c>
      <c r="T27" s="2">
        <f t="shared" si="4"/>
        <v>-1</v>
      </c>
    </row>
    <row r="28" spans="1:20" ht="15.9" customHeight="1" thickBot="1" x14ac:dyDescent="0.35">
      <c r="A28" s="38" t="s">
        <v>28</v>
      </c>
      <c r="B28" s="39">
        <f>SUM(B26+B27)</f>
        <v>87</v>
      </c>
      <c r="C28" s="39">
        <f>SUM(C26+C27)</f>
        <v>109</v>
      </c>
      <c r="D28" s="49">
        <f t="shared" ref="D28:R28" si="9">SUM(D26+D27)</f>
        <v>300</v>
      </c>
      <c r="E28" s="50" t="e">
        <f t="shared" si="9"/>
        <v>#DIV/0!</v>
      </c>
      <c r="F28" s="51">
        <f t="shared" si="0"/>
        <v>1020</v>
      </c>
      <c r="G28" s="24"/>
      <c r="H28" s="52"/>
      <c r="I28" s="44">
        <f t="shared" si="9"/>
        <v>60</v>
      </c>
      <c r="J28" s="44">
        <f t="shared" si="9"/>
        <v>70</v>
      </c>
      <c r="K28" s="44">
        <f t="shared" si="9"/>
        <v>77</v>
      </c>
      <c r="L28" s="44">
        <f t="shared" si="9"/>
        <v>71</v>
      </c>
      <c r="M28" s="44">
        <f t="shared" si="9"/>
        <v>84</v>
      </c>
      <c r="N28" s="44">
        <f t="shared" si="9"/>
        <v>83</v>
      </c>
      <c r="O28" s="44">
        <f t="shared" si="9"/>
        <v>87</v>
      </c>
      <c r="P28" s="45">
        <f t="shared" si="9"/>
        <v>96</v>
      </c>
      <c r="Q28" s="45">
        <f t="shared" si="9"/>
        <v>92</v>
      </c>
      <c r="R28" s="45">
        <f t="shared" si="9"/>
        <v>119.5</v>
      </c>
      <c r="S28" s="45">
        <f>SUM(S26:S27)</f>
        <v>150</v>
      </c>
      <c r="T28" s="2">
        <f t="shared" si="4"/>
        <v>30.5</v>
      </c>
    </row>
    <row r="29" spans="1:20" ht="15.9" customHeight="1" thickBot="1" x14ac:dyDescent="0.3">
      <c r="A29" s="53"/>
      <c r="B29" s="53"/>
      <c r="C29" s="53"/>
      <c r="D29" s="53"/>
      <c r="E29" s="53"/>
      <c r="F29" s="53" t="str">
        <f t="shared" si="0"/>
        <v/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2">
        <f t="shared" si="4"/>
        <v>0</v>
      </c>
    </row>
    <row r="30" spans="1:20" ht="17.25" customHeight="1" thickBot="1" x14ac:dyDescent="0.35">
      <c r="A30" s="38" t="s">
        <v>29</v>
      </c>
      <c r="B30" s="39">
        <f>B24+B28</f>
        <v>729</v>
      </c>
      <c r="C30" s="39">
        <f>C24+C28</f>
        <v>1106</v>
      </c>
      <c r="D30" s="49">
        <f>D24+D28</f>
        <v>1099</v>
      </c>
      <c r="E30" s="55" t="e">
        <f>E24+E28</f>
        <v>#DIV/0!</v>
      </c>
      <c r="F30" s="51">
        <f t="shared" si="0"/>
        <v>6558</v>
      </c>
      <c r="G30" s="56"/>
      <c r="H30" s="52"/>
      <c r="I30" s="44">
        <f t="shared" ref="I30:S30" si="10">I24+I28</f>
        <v>163</v>
      </c>
      <c r="J30" s="44">
        <f t="shared" si="10"/>
        <v>248</v>
      </c>
      <c r="K30" s="44">
        <f t="shared" si="10"/>
        <v>399</v>
      </c>
      <c r="L30" s="44">
        <f t="shared" si="10"/>
        <v>453</v>
      </c>
      <c r="M30" s="44">
        <f t="shared" si="10"/>
        <v>551</v>
      </c>
      <c r="N30" s="44">
        <f t="shared" si="10"/>
        <v>623</v>
      </c>
      <c r="O30" s="44">
        <f t="shared" si="10"/>
        <v>679</v>
      </c>
      <c r="P30" s="44">
        <f t="shared" si="10"/>
        <v>759</v>
      </c>
      <c r="Q30" s="44">
        <f>Q24+Q28</f>
        <v>797</v>
      </c>
      <c r="R30" s="44">
        <f>R24+R28</f>
        <v>869.5</v>
      </c>
      <c r="S30" s="44">
        <f t="shared" si="10"/>
        <v>943</v>
      </c>
      <c r="T30" s="252">
        <f>S30-R30</f>
        <v>73.5</v>
      </c>
    </row>
    <row r="31" spans="1:20" ht="16.2" thickBot="1" x14ac:dyDescent="0.35">
      <c r="A31" s="5" t="s">
        <v>30</v>
      </c>
      <c r="B31" s="6"/>
      <c r="C31" s="6"/>
      <c r="D31" s="6"/>
      <c r="E31" s="6"/>
      <c r="F31" s="6" t="str">
        <f t="shared" si="0"/>
        <v/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2">
        <f t="shared" si="4"/>
        <v>0</v>
      </c>
    </row>
    <row r="32" spans="1:20" ht="24" customHeight="1" x14ac:dyDescent="0.25">
      <c r="A32" s="57" t="s">
        <v>31</v>
      </c>
      <c r="C32" s="58"/>
      <c r="D32" s="17"/>
      <c r="E32" s="17"/>
      <c r="F32" s="17" t="str">
        <f t="shared" si="0"/>
        <v/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2">
        <f t="shared" si="4"/>
        <v>0</v>
      </c>
    </row>
    <row r="33" spans="1:20" ht="13.8" x14ac:dyDescent="0.25">
      <c r="A33" s="19" t="s">
        <v>32</v>
      </c>
      <c r="B33" s="20">
        <v>47</v>
      </c>
      <c r="C33" s="20">
        <v>57</v>
      </c>
      <c r="D33" s="21">
        <v>54</v>
      </c>
      <c r="E33" s="22" t="e">
        <f>P33/A131*52</f>
        <v>#DIV/0!</v>
      </c>
      <c r="F33" s="23">
        <f t="shared" si="0"/>
        <v>432</v>
      </c>
      <c r="G33" s="24"/>
      <c r="H33" s="46"/>
      <c r="I33" s="26">
        <v>16</v>
      </c>
      <c r="J33" s="26">
        <v>20</v>
      </c>
      <c r="K33" s="26">
        <v>27</v>
      </c>
      <c r="L33" s="26">
        <v>30</v>
      </c>
      <c r="M33" s="26">
        <v>36</v>
      </c>
      <c r="N33" s="26">
        <v>43</v>
      </c>
      <c r="O33" s="26">
        <v>47</v>
      </c>
      <c r="P33" s="26">
        <v>48</v>
      </c>
      <c r="Q33" s="26">
        <v>51</v>
      </c>
      <c r="R33" s="26">
        <f t="shared" ref="R33:R35" si="11">(Q33+S33)/2</f>
        <v>54</v>
      </c>
      <c r="S33" s="27">
        <v>57</v>
      </c>
      <c r="T33" s="2">
        <f t="shared" si="4"/>
        <v>3</v>
      </c>
    </row>
    <row r="34" spans="1:20" ht="13.8" x14ac:dyDescent="0.25">
      <c r="A34" s="19" t="s">
        <v>33</v>
      </c>
      <c r="B34" s="20">
        <v>83</v>
      </c>
      <c r="C34" s="20">
        <v>100</v>
      </c>
      <c r="D34" s="21">
        <v>68</v>
      </c>
      <c r="E34" s="22" t="e">
        <f>P34/A131*52</f>
        <v>#DIV/0!</v>
      </c>
      <c r="F34" s="23">
        <f t="shared" si="0"/>
        <v>273</v>
      </c>
      <c r="G34" s="24"/>
      <c r="H34" s="46"/>
      <c r="I34" s="26">
        <v>11</v>
      </c>
      <c r="J34" s="26">
        <v>15</v>
      </c>
      <c r="K34" s="26">
        <v>19</v>
      </c>
      <c r="L34" s="26">
        <v>24</v>
      </c>
      <c r="M34" s="26">
        <v>25</v>
      </c>
      <c r="N34" s="26">
        <v>26</v>
      </c>
      <c r="O34" s="26">
        <v>27</v>
      </c>
      <c r="P34" s="26">
        <v>29</v>
      </c>
      <c r="Q34" s="26">
        <v>31</v>
      </c>
      <c r="R34" s="26">
        <f t="shared" si="11"/>
        <v>32</v>
      </c>
      <c r="S34" s="27">
        <v>33</v>
      </c>
      <c r="T34" s="2">
        <f t="shared" si="4"/>
        <v>1</v>
      </c>
    </row>
    <row r="35" spans="1:20" ht="13.8" x14ac:dyDescent="0.25">
      <c r="A35" s="19" t="s">
        <v>34</v>
      </c>
      <c r="B35" s="20">
        <v>98</v>
      </c>
      <c r="C35" s="20">
        <v>149</v>
      </c>
      <c r="D35" s="21">
        <v>227</v>
      </c>
      <c r="E35" s="22" t="e">
        <f>P35/A131*52</f>
        <v>#DIV/0!</v>
      </c>
      <c r="F35" s="23">
        <f t="shared" si="0"/>
        <v>1276</v>
      </c>
      <c r="G35" s="24"/>
      <c r="H35" s="46"/>
      <c r="I35" s="26">
        <v>39</v>
      </c>
      <c r="J35" s="26">
        <v>58</v>
      </c>
      <c r="K35" s="26">
        <v>74</v>
      </c>
      <c r="L35" s="26">
        <v>97</v>
      </c>
      <c r="M35" s="26">
        <v>115</v>
      </c>
      <c r="N35" s="26">
        <v>124</v>
      </c>
      <c r="O35" s="26">
        <v>134</v>
      </c>
      <c r="P35" s="26">
        <v>145</v>
      </c>
      <c r="Q35" s="26">
        <v>150</v>
      </c>
      <c r="R35" s="26">
        <f t="shared" si="11"/>
        <v>160</v>
      </c>
      <c r="S35" s="27">
        <v>170</v>
      </c>
      <c r="T35" s="2">
        <f t="shared" si="4"/>
        <v>10</v>
      </c>
    </row>
    <row r="36" spans="1:20" ht="13.8" x14ac:dyDescent="0.25">
      <c r="A36" s="19"/>
      <c r="B36" s="17"/>
      <c r="C36" s="17"/>
      <c r="D36" s="17"/>
      <c r="E36" s="17"/>
      <c r="F36" s="17" t="str">
        <f t="shared" si="0"/>
        <v/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2">
        <f t="shared" si="4"/>
        <v>0</v>
      </c>
    </row>
    <row r="37" spans="1:20" ht="13.8" x14ac:dyDescent="0.25">
      <c r="A37" s="19" t="s">
        <v>35</v>
      </c>
      <c r="B37" s="17"/>
      <c r="C37" s="17"/>
      <c r="D37" s="17"/>
      <c r="E37" s="17"/>
      <c r="F37" s="17" t="str">
        <f t="shared" si="0"/>
        <v/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2">
        <f t="shared" si="4"/>
        <v>0</v>
      </c>
    </row>
    <row r="38" spans="1:20" s="59" customFormat="1" ht="13.8" x14ac:dyDescent="0.25">
      <c r="A38" s="19" t="s">
        <v>36</v>
      </c>
      <c r="B38" s="20">
        <v>94</v>
      </c>
      <c r="C38" s="20">
        <v>116</v>
      </c>
      <c r="D38" s="21"/>
      <c r="E38" s="22"/>
      <c r="F38" s="23">
        <f t="shared" si="0"/>
        <v>324</v>
      </c>
      <c r="G38" s="24"/>
      <c r="H38" s="46"/>
      <c r="I38" s="26">
        <v>12</v>
      </c>
      <c r="J38" s="26">
        <v>18</v>
      </c>
      <c r="K38" s="26">
        <v>21</v>
      </c>
      <c r="L38" s="26">
        <v>25</v>
      </c>
      <c r="M38" s="26">
        <v>29</v>
      </c>
      <c r="N38" s="26">
        <v>33</v>
      </c>
      <c r="O38" s="26">
        <v>34</v>
      </c>
      <c r="P38" s="26">
        <v>35</v>
      </c>
      <c r="Q38" s="26">
        <v>37</v>
      </c>
      <c r="R38" s="202">
        <f t="shared" ref="R38:R40" si="12">(Q38+S38)/2</f>
        <v>38.5</v>
      </c>
      <c r="S38" s="27">
        <v>40</v>
      </c>
      <c r="T38" s="2">
        <f t="shared" si="4"/>
        <v>1.5</v>
      </c>
    </row>
    <row r="39" spans="1:20" ht="33" customHeight="1" x14ac:dyDescent="0.25">
      <c r="A39" s="19" t="s">
        <v>37</v>
      </c>
      <c r="B39" s="20">
        <v>46</v>
      </c>
      <c r="C39" s="20">
        <v>64</v>
      </c>
      <c r="D39" s="21"/>
      <c r="E39" s="22"/>
      <c r="F39" s="23">
        <f t="shared" si="0"/>
        <v>593</v>
      </c>
      <c r="G39" s="24"/>
      <c r="H39" s="46"/>
      <c r="I39" s="26">
        <v>31</v>
      </c>
      <c r="J39" s="26">
        <v>22</v>
      </c>
      <c r="K39" s="26">
        <v>32</v>
      </c>
      <c r="L39" s="26">
        <v>51</v>
      </c>
      <c r="M39" s="26">
        <v>51</v>
      </c>
      <c r="N39" s="26">
        <v>52</v>
      </c>
      <c r="O39" s="26">
        <v>57</v>
      </c>
      <c r="P39" s="26">
        <v>64</v>
      </c>
      <c r="Q39" s="26">
        <v>71</v>
      </c>
      <c r="R39" s="202">
        <f t="shared" si="12"/>
        <v>76</v>
      </c>
      <c r="S39" s="27">
        <v>81</v>
      </c>
      <c r="T39" s="2">
        <f t="shared" si="4"/>
        <v>5</v>
      </c>
    </row>
    <row r="40" spans="1:20" s="61" customFormat="1" ht="14.4" thickBot="1" x14ac:dyDescent="0.3">
      <c r="A40" s="19" t="s">
        <v>38</v>
      </c>
      <c r="B40" s="20">
        <v>65</v>
      </c>
      <c r="C40" s="20">
        <v>98</v>
      </c>
      <c r="D40" s="21"/>
      <c r="E40" s="22"/>
      <c r="F40" s="23">
        <f t="shared" si="0"/>
        <v>685</v>
      </c>
      <c r="G40" s="24"/>
      <c r="H40" s="46"/>
      <c r="I40" s="26">
        <v>22</v>
      </c>
      <c r="J40" s="26">
        <v>32</v>
      </c>
      <c r="K40" s="26">
        <v>40</v>
      </c>
      <c r="L40" s="26">
        <v>54</v>
      </c>
      <c r="M40" s="26">
        <v>63</v>
      </c>
      <c r="N40" s="26">
        <v>69</v>
      </c>
      <c r="O40" s="26">
        <v>72</v>
      </c>
      <c r="P40" s="26">
        <v>76</v>
      </c>
      <c r="Q40" s="26">
        <v>77</v>
      </c>
      <c r="R40" s="202">
        <f t="shared" si="12"/>
        <v>83.5</v>
      </c>
      <c r="S40" s="60">
        <v>90</v>
      </c>
      <c r="T40" s="206">
        <f>S40-R40</f>
        <v>6.5</v>
      </c>
    </row>
    <row r="41" spans="1:20" ht="14.4" thickBot="1" x14ac:dyDescent="0.35">
      <c r="A41" s="38" t="s">
        <v>39</v>
      </c>
      <c r="B41" s="39">
        <f>SUM(B33:B35)</f>
        <v>228</v>
      </c>
      <c r="C41" s="39">
        <f>SUM(C33:C35)</f>
        <v>306</v>
      </c>
      <c r="D41" s="49">
        <f>SUM(D33:D35)</f>
        <v>349</v>
      </c>
      <c r="E41" s="55" t="e">
        <f>SUM(E33:E35)</f>
        <v>#DIV/0!</v>
      </c>
      <c r="F41" s="62">
        <f t="shared" si="0"/>
        <v>1981</v>
      </c>
      <c r="G41" s="24"/>
      <c r="H41" s="63"/>
      <c r="I41" s="44">
        <f t="shared" ref="I41:S41" si="13">SUM(I33:I35)</f>
        <v>66</v>
      </c>
      <c r="J41" s="44">
        <f t="shared" si="13"/>
        <v>93</v>
      </c>
      <c r="K41" s="44">
        <f t="shared" si="13"/>
        <v>120</v>
      </c>
      <c r="L41" s="44">
        <f t="shared" si="13"/>
        <v>151</v>
      </c>
      <c r="M41" s="44">
        <f t="shared" si="13"/>
        <v>176</v>
      </c>
      <c r="N41" s="44">
        <f t="shared" si="13"/>
        <v>193</v>
      </c>
      <c r="O41" s="44">
        <f t="shared" si="13"/>
        <v>208</v>
      </c>
      <c r="P41" s="44">
        <f t="shared" si="13"/>
        <v>222</v>
      </c>
      <c r="Q41" s="44">
        <f t="shared" si="13"/>
        <v>232</v>
      </c>
      <c r="R41" s="44">
        <f>SUM(R33:R35)</f>
        <v>246</v>
      </c>
      <c r="S41" s="44">
        <f t="shared" si="13"/>
        <v>260</v>
      </c>
      <c r="T41" s="2">
        <f t="shared" si="4"/>
        <v>14</v>
      </c>
    </row>
    <row r="42" spans="1:20" ht="7.5" customHeight="1" x14ac:dyDescent="0.25">
      <c r="A42" s="64"/>
      <c r="B42" s="65"/>
      <c r="C42" s="17"/>
      <c r="D42" s="17"/>
      <c r="E42" s="17"/>
      <c r="F42" s="17" t="str">
        <f t="shared" si="0"/>
        <v/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  <c r="T42" s="2">
        <f t="shared" si="4"/>
        <v>0</v>
      </c>
    </row>
    <row r="43" spans="1:20" ht="14.4" x14ac:dyDescent="0.25">
      <c r="A43" s="66" t="s">
        <v>40</v>
      </c>
      <c r="B43" s="17"/>
      <c r="C43" s="17"/>
      <c r="D43" s="17"/>
      <c r="E43" s="17"/>
      <c r="F43" s="17" t="str">
        <f t="shared" si="0"/>
        <v/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2">
        <f t="shared" si="4"/>
        <v>0</v>
      </c>
    </row>
    <row r="44" spans="1:20" ht="27.6" x14ac:dyDescent="0.25">
      <c r="A44" s="19" t="s">
        <v>41</v>
      </c>
      <c r="B44" s="20">
        <v>342</v>
      </c>
      <c r="C44" s="20">
        <v>401</v>
      </c>
      <c r="D44" s="21">
        <v>325</v>
      </c>
      <c r="E44" s="22" t="e">
        <f>P44/A131*52</f>
        <v>#DIV/0!</v>
      </c>
      <c r="F44" s="67">
        <f t="shared" si="0"/>
        <v>1247</v>
      </c>
      <c r="G44" s="24"/>
      <c r="H44" s="46"/>
      <c r="I44" s="26">
        <v>38</v>
      </c>
      <c r="J44" s="26">
        <v>45</v>
      </c>
      <c r="K44" s="26">
        <v>50</v>
      </c>
      <c r="L44" s="26">
        <v>66</v>
      </c>
      <c r="M44" s="26">
        <v>86</v>
      </c>
      <c r="N44" s="26">
        <v>105</v>
      </c>
      <c r="O44" s="26">
        <v>129</v>
      </c>
      <c r="P44" s="26">
        <v>146</v>
      </c>
      <c r="Q44" s="26">
        <v>170</v>
      </c>
      <c r="R44" s="26">
        <f t="shared" ref="R44:R45" si="14">(Q44+S44)/2</f>
        <v>188</v>
      </c>
      <c r="S44" s="27">
        <v>206</v>
      </c>
      <c r="T44" s="2">
        <f t="shared" si="4"/>
        <v>18</v>
      </c>
    </row>
    <row r="45" spans="1:20" ht="28.2" thickBot="1" x14ac:dyDescent="0.3">
      <c r="A45" s="296" t="s">
        <v>42</v>
      </c>
      <c r="B45" s="20">
        <v>147</v>
      </c>
      <c r="C45" s="20">
        <v>180</v>
      </c>
      <c r="D45" s="21">
        <v>150</v>
      </c>
      <c r="E45" s="22" t="e">
        <f>P45/A131*52</f>
        <v>#DIV/0!</v>
      </c>
      <c r="F45" s="67">
        <f t="shared" si="0"/>
        <v>2958</v>
      </c>
      <c r="G45" s="24"/>
      <c r="H45" s="46"/>
      <c r="I45" s="26">
        <f>(I39-I63)</f>
        <v>31</v>
      </c>
      <c r="J45" s="26">
        <v>124</v>
      </c>
      <c r="K45" s="26">
        <v>168</v>
      </c>
      <c r="L45" s="26">
        <v>238</v>
      </c>
      <c r="M45" s="26">
        <v>266</v>
      </c>
      <c r="N45" s="26">
        <v>297</v>
      </c>
      <c r="O45" s="26">
        <v>317</v>
      </c>
      <c r="P45" s="26">
        <v>343</v>
      </c>
      <c r="Q45" s="26">
        <v>362</v>
      </c>
      <c r="R45" s="26">
        <f t="shared" si="14"/>
        <v>384</v>
      </c>
      <c r="S45" s="60">
        <v>406</v>
      </c>
      <c r="T45" s="2">
        <f t="shared" si="4"/>
        <v>22</v>
      </c>
    </row>
    <row r="46" spans="1:20" ht="14.25" customHeight="1" thickBot="1" x14ac:dyDescent="0.35">
      <c r="A46" s="38" t="s">
        <v>43</v>
      </c>
      <c r="B46" s="39">
        <f>SUM(B44:B45)</f>
        <v>489</v>
      </c>
      <c r="C46" s="39">
        <f>SUM(C44:C45)</f>
        <v>581</v>
      </c>
      <c r="D46" s="49">
        <f>SUM(D44:D45)</f>
        <v>475</v>
      </c>
      <c r="E46" s="55" t="e">
        <f>SUM(E44:E45)</f>
        <v>#DIV/0!</v>
      </c>
      <c r="F46" s="62">
        <f t="shared" si="0"/>
        <v>4205</v>
      </c>
      <c r="G46" s="24"/>
      <c r="H46" s="40"/>
      <c r="I46" s="44">
        <f t="shared" ref="I46:O46" si="15">SUM(I44:I45)</f>
        <v>69</v>
      </c>
      <c r="J46" s="44">
        <f t="shared" si="15"/>
        <v>169</v>
      </c>
      <c r="K46" s="44">
        <f t="shared" si="15"/>
        <v>218</v>
      </c>
      <c r="L46" s="44">
        <f t="shared" si="15"/>
        <v>304</v>
      </c>
      <c r="M46" s="44">
        <f t="shared" si="15"/>
        <v>352</v>
      </c>
      <c r="N46" s="44">
        <f t="shared" si="15"/>
        <v>402</v>
      </c>
      <c r="O46" s="44">
        <f t="shared" si="15"/>
        <v>446</v>
      </c>
      <c r="P46" s="44">
        <f>SUM(P44:P45)</f>
        <v>489</v>
      </c>
      <c r="Q46" s="44">
        <f t="shared" ref="Q46:S46" si="16">SUM(Q44:Q45)</f>
        <v>532</v>
      </c>
      <c r="R46" s="44">
        <f t="shared" si="16"/>
        <v>572</v>
      </c>
      <c r="S46" s="44">
        <f t="shared" si="16"/>
        <v>612</v>
      </c>
      <c r="T46" s="2">
        <f t="shared" si="4"/>
        <v>40</v>
      </c>
    </row>
    <row r="47" spans="1:20" ht="14.85" customHeight="1" thickBot="1" x14ac:dyDescent="0.35">
      <c r="A47" s="38" t="s">
        <v>44</v>
      </c>
      <c r="B47" s="39">
        <f>B41+B44+B45</f>
        <v>717</v>
      </c>
      <c r="C47" s="39">
        <f>C41+C44+C45</f>
        <v>887</v>
      </c>
      <c r="D47" s="49">
        <f t="shared" ref="D47:O47" si="17">D41+D44+D45</f>
        <v>824</v>
      </c>
      <c r="E47" s="55" t="e">
        <f t="shared" si="17"/>
        <v>#DIV/0!</v>
      </c>
      <c r="F47" s="62">
        <f t="shared" si="0"/>
        <v>6186</v>
      </c>
      <c r="G47" s="24"/>
      <c r="H47" s="40"/>
      <c r="I47" s="44">
        <f t="shared" si="17"/>
        <v>135</v>
      </c>
      <c r="J47" s="44">
        <f t="shared" si="17"/>
        <v>262</v>
      </c>
      <c r="K47" s="44">
        <f t="shared" si="17"/>
        <v>338</v>
      </c>
      <c r="L47" s="44">
        <f t="shared" si="17"/>
        <v>455</v>
      </c>
      <c r="M47" s="44">
        <f t="shared" si="17"/>
        <v>528</v>
      </c>
      <c r="N47" s="44">
        <f t="shared" si="17"/>
        <v>595</v>
      </c>
      <c r="O47" s="44">
        <f t="shared" si="17"/>
        <v>654</v>
      </c>
      <c r="P47" s="44">
        <f>P41+P44+P45</f>
        <v>711</v>
      </c>
      <c r="Q47" s="44">
        <f t="shared" ref="Q47:R47" si="18">Q41+Q44+Q45</f>
        <v>764</v>
      </c>
      <c r="R47" s="44">
        <f t="shared" si="18"/>
        <v>818</v>
      </c>
      <c r="S47" s="44">
        <f>S41+S44+S45</f>
        <v>872</v>
      </c>
      <c r="T47" s="2">
        <f t="shared" si="4"/>
        <v>54</v>
      </c>
    </row>
    <row r="48" spans="1:20" ht="7.5" customHeight="1" x14ac:dyDescent="0.25">
      <c r="A48" s="28"/>
      <c r="B48" s="17"/>
      <c r="C48" s="17"/>
      <c r="D48" s="17"/>
      <c r="E48" s="17"/>
      <c r="F48" s="17" t="str">
        <f t="shared" si="0"/>
        <v/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8"/>
      <c r="T48" s="2">
        <f t="shared" si="4"/>
        <v>0</v>
      </c>
    </row>
    <row r="49" spans="1:20" ht="27.6" x14ac:dyDescent="0.25">
      <c r="A49" s="19" t="s">
        <v>26</v>
      </c>
      <c r="B49" s="20">
        <v>87</v>
      </c>
      <c r="C49" s="20">
        <v>106</v>
      </c>
      <c r="D49" s="21"/>
      <c r="E49" s="22" t="e">
        <f>P49/A131*52</f>
        <v>#DIV/0!</v>
      </c>
      <c r="F49" s="67">
        <f t="shared" si="0"/>
        <v>981</v>
      </c>
      <c r="G49" s="24"/>
      <c r="H49" s="26"/>
      <c r="I49" s="26">
        <f t="shared" ref="I49:S49" si="19">I26</f>
        <v>58</v>
      </c>
      <c r="J49" s="26">
        <f t="shared" si="19"/>
        <v>66</v>
      </c>
      <c r="K49" s="26">
        <f t="shared" si="19"/>
        <v>68</v>
      </c>
      <c r="L49" s="26">
        <f t="shared" si="19"/>
        <v>69</v>
      </c>
      <c r="M49" s="26">
        <f t="shared" si="19"/>
        <v>75</v>
      </c>
      <c r="N49" s="26">
        <f t="shared" si="19"/>
        <v>77</v>
      </c>
      <c r="O49" s="26">
        <f t="shared" si="19"/>
        <v>86</v>
      </c>
      <c r="P49" s="26">
        <f t="shared" si="19"/>
        <v>95</v>
      </c>
      <c r="Q49" s="26">
        <f t="shared" si="19"/>
        <v>87</v>
      </c>
      <c r="R49" s="202">
        <f t="shared" si="19"/>
        <v>118.5</v>
      </c>
      <c r="S49" s="27">
        <f t="shared" si="19"/>
        <v>150</v>
      </c>
      <c r="T49" s="2">
        <f t="shared" si="4"/>
        <v>31.5</v>
      </c>
    </row>
    <row r="50" spans="1:20" ht="14.4" thickBot="1" x14ac:dyDescent="0.3">
      <c r="A50" s="19" t="s">
        <v>27</v>
      </c>
      <c r="B50" s="20">
        <v>0</v>
      </c>
      <c r="C50" s="20">
        <v>3</v>
      </c>
      <c r="D50" s="21"/>
      <c r="E50" s="22" t="e">
        <f>P50/A131*52</f>
        <v>#DIV/0!</v>
      </c>
      <c r="F50" s="67">
        <f t="shared" si="0"/>
        <v>41</v>
      </c>
      <c r="G50" s="24"/>
      <c r="H50" s="26">
        <v>2</v>
      </c>
      <c r="I50" s="26">
        <v>2</v>
      </c>
      <c r="J50" s="26">
        <v>4</v>
      </c>
      <c r="K50" s="26">
        <v>9</v>
      </c>
      <c r="L50" s="26">
        <v>2</v>
      </c>
      <c r="M50" s="26">
        <v>9</v>
      </c>
      <c r="N50" s="26">
        <v>6</v>
      </c>
      <c r="O50" s="26">
        <v>1</v>
      </c>
      <c r="P50" s="26">
        <v>1</v>
      </c>
      <c r="Q50" s="26">
        <v>5</v>
      </c>
      <c r="R50" s="26">
        <v>1</v>
      </c>
      <c r="S50" s="26">
        <v>0</v>
      </c>
      <c r="T50" s="2">
        <f t="shared" si="4"/>
        <v>-1</v>
      </c>
    </row>
    <row r="51" spans="1:20" ht="14.4" thickBot="1" x14ac:dyDescent="0.35">
      <c r="A51" s="38" t="s">
        <v>45</v>
      </c>
      <c r="B51" s="39">
        <f>SUM(B49:B50)</f>
        <v>87</v>
      </c>
      <c r="C51" s="39">
        <f>SUM(C49:C50)</f>
        <v>109</v>
      </c>
      <c r="D51" s="49">
        <f>SUM(D49:D50)</f>
        <v>0</v>
      </c>
      <c r="E51" s="55" t="e">
        <f>SUM(E49:E50)</f>
        <v>#DIV/0!</v>
      </c>
      <c r="F51" s="62">
        <f t="shared" si="0"/>
        <v>1020</v>
      </c>
      <c r="G51" s="24"/>
      <c r="H51" s="40"/>
      <c r="I51" s="44">
        <f t="shared" ref="I51:O51" si="20">SUM(I49:I50)</f>
        <v>60</v>
      </c>
      <c r="J51" s="44">
        <f t="shared" si="20"/>
        <v>70</v>
      </c>
      <c r="K51" s="44">
        <f t="shared" si="20"/>
        <v>77</v>
      </c>
      <c r="L51" s="44">
        <f t="shared" si="20"/>
        <v>71</v>
      </c>
      <c r="M51" s="44">
        <f t="shared" si="20"/>
        <v>84</v>
      </c>
      <c r="N51" s="44">
        <f t="shared" si="20"/>
        <v>83</v>
      </c>
      <c r="O51" s="44">
        <f t="shared" si="20"/>
        <v>87</v>
      </c>
      <c r="P51" s="44">
        <f>SUM(P49:P50)</f>
        <v>96</v>
      </c>
      <c r="Q51" s="44">
        <f t="shared" ref="Q51:R51" si="21">SUM(Q49:Q50)</f>
        <v>92</v>
      </c>
      <c r="R51" s="44">
        <f t="shared" si="21"/>
        <v>119.5</v>
      </c>
      <c r="S51" s="44">
        <f>SUM(S49:S50)</f>
        <v>150</v>
      </c>
      <c r="T51" s="2">
        <f t="shared" si="4"/>
        <v>30.5</v>
      </c>
    </row>
    <row r="52" spans="1:20" ht="7.5" customHeight="1" thickBot="1" x14ac:dyDescent="0.3">
      <c r="A52" s="17"/>
      <c r="B52" s="17"/>
      <c r="C52" s="17"/>
      <c r="D52" s="17"/>
      <c r="E52" s="17"/>
      <c r="F52" s="17" t="str">
        <f t="shared" si="0"/>
        <v/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2">
        <f t="shared" si="4"/>
        <v>0</v>
      </c>
    </row>
    <row r="53" spans="1:20" ht="14.4" thickBot="1" x14ac:dyDescent="0.35">
      <c r="A53" s="38" t="s">
        <v>46</v>
      </c>
      <c r="B53" s="39">
        <f t="shared" ref="B53:E53" si="22">B47+B51</f>
        <v>804</v>
      </c>
      <c r="C53" s="39">
        <f t="shared" si="22"/>
        <v>996</v>
      </c>
      <c r="D53" s="49">
        <f t="shared" si="22"/>
        <v>824</v>
      </c>
      <c r="E53" s="55" t="e">
        <f t="shared" si="22"/>
        <v>#DIV/0!</v>
      </c>
      <c r="F53" s="68">
        <f t="shared" si="0"/>
        <v>7206</v>
      </c>
      <c r="G53" s="56"/>
      <c r="H53" s="40"/>
      <c r="I53" s="44">
        <f t="shared" ref="I53:O53" si="23">I47+I51</f>
        <v>195</v>
      </c>
      <c r="J53" s="44">
        <f t="shared" si="23"/>
        <v>332</v>
      </c>
      <c r="K53" s="44">
        <f t="shared" si="23"/>
        <v>415</v>
      </c>
      <c r="L53" s="44">
        <f t="shared" si="23"/>
        <v>526</v>
      </c>
      <c r="M53" s="44">
        <f t="shared" si="23"/>
        <v>612</v>
      </c>
      <c r="N53" s="44">
        <f t="shared" si="23"/>
        <v>678</v>
      </c>
      <c r="O53" s="44">
        <f t="shared" si="23"/>
        <v>741</v>
      </c>
      <c r="P53" s="44">
        <f>P47+P51</f>
        <v>807</v>
      </c>
      <c r="Q53" s="44">
        <f t="shared" ref="Q53:R53" si="24">Q47+Q51</f>
        <v>856</v>
      </c>
      <c r="R53" s="44">
        <f t="shared" si="24"/>
        <v>937.5</v>
      </c>
      <c r="S53" s="44">
        <f>S47+S51</f>
        <v>1022</v>
      </c>
      <c r="T53" s="2">
        <f t="shared" si="4"/>
        <v>84.5</v>
      </c>
    </row>
    <row r="54" spans="1:20" ht="16.2" thickBot="1" x14ac:dyDescent="0.35">
      <c r="A54" s="5" t="s">
        <v>47</v>
      </c>
      <c r="B54" s="6"/>
      <c r="C54" s="6"/>
      <c r="D54" s="6"/>
      <c r="E54" s="6"/>
      <c r="F54" s="6" t="str">
        <f t="shared" ref="F54:F107" si="25">IF((SUM(H54:VF54))=0,"",(SUM(H54:VF54)))</f>
        <v/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7"/>
      <c r="T54" s="2">
        <f t="shared" si="4"/>
        <v>0</v>
      </c>
    </row>
    <row r="55" spans="1:20" ht="28.8" x14ac:dyDescent="0.25">
      <c r="A55" s="57" t="s">
        <v>48</v>
      </c>
      <c r="B55" s="17"/>
      <c r="C55" s="17"/>
      <c r="D55" s="17"/>
      <c r="E55" s="17"/>
      <c r="F55" s="17" t="str">
        <f t="shared" si="25"/>
        <v/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8"/>
      <c r="T55" s="2">
        <f t="shared" si="4"/>
        <v>0</v>
      </c>
    </row>
    <row r="56" spans="1:20" ht="27.6" x14ac:dyDescent="0.25">
      <c r="A56" s="19" t="s">
        <v>31</v>
      </c>
      <c r="B56" s="20">
        <v>228</v>
      </c>
      <c r="C56" s="20">
        <v>306</v>
      </c>
      <c r="D56" s="21">
        <v>349</v>
      </c>
      <c r="E56" s="22" t="e">
        <f>P56/A131*52</f>
        <v>#DIV/0!</v>
      </c>
      <c r="F56" s="67">
        <f t="shared" si="25"/>
        <v>1981</v>
      </c>
      <c r="G56" s="24"/>
      <c r="H56" s="46"/>
      <c r="I56" s="26">
        <v>66</v>
      </c>
      <c r="J56" s="26">
        <v>93</v>
      </c>
      <c r="K56" s="26">
        <v>120</v>
      </c>
      <c r="L56" s="26">
        <v>151</v>
      </c>
      <c r="M56" s="26">
        <v>176</v>
      </c>
      <c r="N56" s="26">
        <v>193</v>
      </c>
      <c r="O56" s="26">
        <v>208</v>
      </c>
      <c r="P56" s="26">
        <v>222</v>
      </c>
      <c r="Q56" s="26">
        <v>232</v>
      </c>
      <c r="R56" s="26">
        <f t="shared" ref="R56:R60" si="26">(Q56+S56)/2</f>
        <v>246</v>
      </c>
      <c r="S56" s="27">
        <f>S41</f>
        <v>260</v>
      </c>
      <c r="T56" s="2">
        <f t="shared" si="4"/>
        <v>14</v>
      </c>
    </row>
    <row r="57" spans="1:20" ht="27.6" x14ac:dyDescent="0.25">
      <c r="A57" s="296" t="s">
        <v>49</v>
      </c>
      <c r="B57" s="20">
        <v>436</v>
      </c>
      <c r="C57" s="20">
        <v>643</v>
      </c>
      <c r="D57" s="21">
        <v>750</v>
      </c>
      <c r="E57" s="22" t="e">
        <f>P57/A131*52</f>
        <v>#DIV/0!</v>
      </c>
      <c r="F57" s="67">
        <f t="shared" si="25"/>
        <v>4907</v>
      </c>
      <c r="G57" s="24"/>
      <c r="H57" s="46"/>
      <c r="I57" s="26">
        <v>87</v>
      </c>
      <c r="J57" s="26">
        <v>145</v>
      </c>
      <c r="K57" s="26">
        <v>302</v>
      </c>
      <c r="L57" s="26">
        <v>381</v>
      </c>
      <c r="M57" s="26">
        <v>443</v>
      </c>
      <c r="N57" s="26">
        <v>490</v>
      </c>
      <c r="O57" s="26">
        <v>516</v>
      </c>
      <c r="P57" s="26">
        <v>554</v>
      </c>
      <c r="Q57" s="26">
        <v>579</v>
      </c>
      <c r="R57" s="26">
        <f t="shared" si="26"/>
        <v>642</v>
      </c>
      <c r="S57" s="27">
        <v>705</v>
      </c>
      <c r="T57" s="2">
        <f t="shared" si="4"/>
        <v>63</v>
      </c>
    </row>
    <row r="58" spans="1:20" ht="12.75" customHeight="1" x14ac:dyDescent="0.25">
      <c r="A58" s="28"/>
      <c r="B58" s="17"/>
      <c r="C58" s="17"/>
      <c r="D58" s="17"/>
      <c r="E58" s="17"/>
      <c r="F58" s="17">
        <f t="shared" si="25"/>
        <v>1949</v>
      </c>
      <c r="G58" s="17"/>
      <c r="H58" s="17"/>
      <c r="I58" s="17">
        <f>I57-I45</f>
        <v>56</v>
      </c>
      <c r="J58" s="17">
        <f>J57-J45</f>
        <v>21</v>
      </c>
      <c r="K58" s="17">
        <f t="shared" ref="K58:R58" si="27">K57-K45</f>
        <v>134</v>
      </c>
      <c r="L58" s="17">
        <f t="shared" si="27"/>
        <v>143</v>
      </c>
      <c r="M58" s="17">
        <f t="shared" si="27"/>
        <v>177</v>
      </c>
      <c r="N58" s="17">
        <f t="shared" si="27"/>
        <v>193</v>
      </c>
      <c r="O58" s="17">
        <f t="shared" si="27"/>
        <v>199</v>
      </c>
      <c r="P58" s="17">
        <f t="shared" si="27"/>
        <v>211</v>
      </c>
      <c r="Q58" s="17">
        <f t="shared" si="27"/>
        <v>217</v>
      </c>
      <c r="R58" s="17">
        <f t="shared" si="27"/>
        <v>258</v>
      </c>
      <c r="S58" s="17">
        <f>S57-S45</f>
        <v>299</v>
      </c>
      <c r="T58" s="2">
        <f t="shared" si="4"/>
        <v>41</v>
      </c>
    </row>
    <row r="59" spans="1:20" s="59" customFormat="1" ht="27.6" x14ac:dyDescent="0.25">
      <c r="A59" s="19" t="s">
        <v>50</v>
      </c>
      <c r="B59" s="20">
        <v>289</v>
      </c>
      <c r="C59" s="20">
        <v>463</v>
      </c>
      <c r="D59" s="21">
        <v>600</v>
      </c>
      <c r="E59" s="22" t="e">
        <f>P59/A131*52</f>
        <v>#DIV/0!</v>
      </c>
      <c r="F59" s="67">
        <f t="shared" si="25"/>
        <v>1913</v>
      </c>
      <c r="G59" s="24"/>
      <c r="H59" s="46"/>
      <c r="I59" s="26">
        <v>20</v>
      </c>
      <c r="J59" s="26">
        <v>21</v>
      </c>
      <c r="K59" s="26">
        <v>134</v>
      </c>
      <c r="L59" s="26">
        <v>143</v>
      </c>
      <c r="M59" s="26">
        <v>177</v>
      </c>
      <c r="N59" s="26">
        <v>193</v>
      </c>
      <c r="O59" s="26">
        <v>199</v>
      </c>
      <c r="P59" s="26">
        <v>211</v>
      </c>
      <c r="Q59" s="26">
        <v>217</v>
      </c>
      <c r="R59" s="26">
        <f t="shared" si="26"/>
        <v>258</v>
      </c>
      <c r="S59" s="69">
        <v>299</v>
      </c>
      <c r="T59" s="2">
        <f t="shared" si="4"/>
        <v>41</v>
      </c>
    </row>
    <row r="60" spans="1:20" ht="7.5" customHeight="1" thickBot="1" x14ac:dyDescent="0.3">
      <c r="A60" s="28"/>
      <c r="B60" s="17"/>
      <c r="C60" s="17"/>
      <c r="D60" s="17"/>
      <c r="E60" s="17"/>
      <c r="F60" s="17" t="str">
        <f t="shared" si="25"/>
        <v/>
      </c>
      <c r="G60" s="17"/>
      <c r="H60" s="17"/>
      <c r="I60" s="17"/>
      <c r="J60" s="17"/>
      <c r="K60" s="17"/>
      <c r="L60" s="17"/>
      <c r="M60" s="17"/>
      <c r="N60" s="17"/>
      <c r="O60" s="17"/>
      <c r="P60" s="70"/>
      <c r="Q60" s="17"/>
      <c r="R60" s="17">
        <f t="shared" si="26"/>
        <v>0</v>
      </c>
      <c r="S60" s="18"/>
      <c r="T60" s="2">
        <f t="shared" si="4"/>
        <v>0</v>
      </c>
    </row>
    <row r="61" spans="1:20" s="79" customFormat="1" ht="24.75" customHeight="1" thickBot="1" x14ac:dyDescent="0.35">
      <c r="A61" s="71" t="s">
        <v>51</v>
      </c>
      <c r="B61" s="72">
        <f>SUM(B56+B57)</f>
        <v>664</v>
      </c>
      <c r="C61" s="72">
        <f>SUM(C56+C57)</f>
        <v>949</v>
      </c>
      <c r="D61" s="73">
        <f>SUM(D56+D57)</f>
        <v>1099</v>
      </c>
      <c r="E61" s="74" t="e">
        <f t="shared" ref="E61:R61" si="28">SUM(E56+E57)</f>
        <v>#DIV/0!</v>
      </c>
      <c r="F61" s="75">
        <f t="shared" si="25"/>
        <v>6888</v>
      </c>
      <c r="G61" s="76"/>
      <c r="H61" s="77"/>
      <c r="I61" s="78">
        <f t="shared" si="28"/>
        <v>153</v>
      </c>
      <c r="J61" s="78">
        <f t="shared" si="28"/>
        <v>238</v>
      </c>
      <c r="K61" s="78">
        <f t="shared" si="28"/>
        <v>422</v>
      </c>
      <c r="L61" s="78">
        <f t="shared" si="28"/>
        <v>532</v>
      </c>
      <c r="M61" s="78">
        <f t="shared" si="28"/>
        <v>619</v>
      </c>
      <c r="N61" s="78">
        <f t="shared" si="28"/>
        <v>683</v>
      </c>
      <c r="O61" s="78">
        <f>SUM(O56+O57)</f>
        <v>724</v>
      </c>
      <c r="P61" s="78">
        <f t="shared" si="28"/>
        <v>776</v>
      </c>
      <c r="Q61" s="78">
        <f t="shared" si="28"/>
        <v>811</v>
      </c>
      <c r="R61" s="78">
        <f t="shared" si="28"/>
        <v>888</v>
      </c>
      <c r="S61" s="78">
        <f>SUM(S56+S57)</f>
        <v>965</v>
      </c>
      <c r="T61" s="2">
        <f t="shared" si="4"/>
        <v>77</v>
      </c>
    </row>
    <row r="62" spans="1:20" ht="7.5" customHeight="1" thickBot="1" x14ac:dyDescent="0.3">
      <c r="A62" s="28"/>
      <c r="B62" s="17"/>
      <c r="C62" s="17"/>
      <c r="D62" s="17"/>
      <c r="E62" s="17"/>
      <c r="F62" s="17" t="str">
        <f t="shared" si="25"/>
        <v/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2">
        <f t="shared" si="4"/>
        <v>0</v>
      </c>
    </row>
    <row r="63" spans="1:20" ht="16.2" thickBot="1" x14ac:dyDescent="0.35">
      <c r="A63" s="5" t="s">
        <v>52</v>
      </c>
      <c r="B63" s="6"/>
      <c r="C63" s="6"/>
      <c r="D63" s="6"/>
      <c r="E63" s="6"/>
      <c r="F63" s="6" t="str">
        <f t="shared" si="25"/>
        <v/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7"/>
      <c r="T63" s="2">
        <f t="shared" si="4"/>
        <v>0</v>
      </c>
    </row>
    <row r="64" spans="1:20" ht="6" hidden="1" customHeight="1" thickTop="1" x14ac:dyDescent="0.25">
      <c r="A64" s="80"/>
      <c r="B64" s="81"/>
      <c r="C64" s="58"/>
      <c r="D64" s="82"/>
      <c r="E64" s="83"/>
      <c r="F64" s="84" t="str">
        <f t="shared" si="25"/>
        <v/>
      </c>
      <c r="G64" s="13"/>
      <c r="I64" s="17"/>
      <c r="J64" s="17"/>
      <c r="K64" s="17"/>
      <c r="L64" s="17"/>
      <c r="M64" s="17"/>
      <c r="N64" s="17"/>
      <c r="O64" s="17"/>
      <c r="P64" s="86"/>
      <c r="Q64" s="17"/>
      <c r="R64" s="17"/>
      <c r="S64" s="18"/>
      <c r="T64" s="2">
        <f t="shared" si="4"/>
        <v>0</v>
      </c>
    </row>
    <row r="65" spans="1:20" ht="14.4" x14ac:dyDescent="0.25">
      <c r="A65" s="66" t="s">
        <v>53</v>
      </c>
      <c r="C65" s="17"/>
      <c r="D65" s="17"/>
      <c r="E65" s="17"/>
      <c r="F65" s="17" t="str">
        <f t="shared" si="25"/>
        <v/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/>
      <c r="T65" s="2">
        <f t="shared" si="4"/>
        <v>0</v>
      </c>
    </row>
    <row r="66" spans="1:20" ht="13.8" x14ac:dyDescent="0.25">
      <c r="A66" s="19" t="s">
        <v>32</v>
      </c>
      <c r="B66" s="20">
        <v>108</v>
      </c>
      <c r="C66" s="20">
        <v>148</v>
      </c>
      <c r="D66" s="21">
        <v>112</v>
      </c>
      <c r="E66" s="22" t="e">
        <f>P66/A131*52</f>
        <v>#DIV/0!</v>
      </c>
      <c r="F66" s="67">
        <f t="shared" si="25"/>
        <v>1060</v>
      </c>
      <c r="G66" s="24"/>
      <c r="H66" s="46"/>
      <c r="I66" s="26">
        <v>31</v>
      </c>
      <c r="J66" s="26">
        <v>44</v>
      </c>
      <c r="K66" s="26">
        <v>52</v>
      </c>
      <c r="L66" s="26">
        <v>68</v>
      </c>
      <c r="M66" s="26">
        <v>86</v>
      </c>
      <c r="N66" s="26">
        <v>104</v>
      </c>
      <c r="O66" s="26">
        <v>113</v>
      </c>
      <c r="P66" s="26">
        <v>123</v>
      </c>
      <c r="Q66" s="26">
        <v>133</v>
      </c>
      <c r="R66" s="203">
        <f t="shared" ref="R66:R74" si="29">(Q66+S66)/2</f>
        <v>143</v>
      </c>
      <c r="S66" s="27">
        <v>153</v>
      </c>
      <c r="T66" s="2">
        <f t="shared" si="4"/>
        <v>10</v>
      </c>
    </row>
    <row r="67" spans="1:20" ht="13.8" x14ac:dyDescent="0.25">
      <c r="A67" s="19" t="s">
        <v>33</v>
      </c>
      <c r="B67" s="20">
        <v>15</v>
      </c>
      <c r="C67" s="20">
        <v>15</v>
      </c>
      <c r="D67" s="21">
        <v>11</v>
      </c>
      <c r="E67" s="22" t="e">
        <f>P67/A131*52</f>
        <v>#DIV/0!</v>
      </c>
      <c r="F67" s="67">
        <f t="shared" si="25"/>
        <v>76</v>
      </c>
      <c r="G67" s="24"/>
      <c r="H67" s="46"/>
      <c r="I67" s="26">
        <v>1</v>
      </c>
      <c r="J67" s="26">
        <v>4</v>
      </c>
      <c r="K67" s="26">
        <v>4</v>
      </c>
      <c r="L67" s="26">
        <v>5</v>
      </c>
      <c r="M67" s="26">
        <v>5</v>
      </c>
      <c r="N67" s="26">
        <v>6</v>
      </c>
      <c r="O67" s="26">
        <v>8</v>
      </c>
      <c r="P67" s="26">
        <v>8</v>
      </c>
      <c r="Q67" s="26">
        <v>9</v>
      </c>
      <c r="R67" s="203">
        <f t="shared" si="29"/>
        <v>11</v>
      </c>
      <c r="S67" s="27">
        <v>13</v>
      </c>
      <c r="T67" s="2">
        <f t="shared" si="4"/>
        <v>2</v>
      </c>
    </row>
    <row r="68" spans="1:20" ht="13.8" x14ac:dyDescent="0.25">
      <c r="A68" s="19" t="s">
        <v>34</v>
      </c>
      <c r="B68" s="20">
        <v>52</v>
      </c>
      <c r="C68" s="20">
        <v>64</v>
      </c>
      <c r="D68" s="21">
        <v>30</v>
      </c>
      <c r="E68" s="22" t="e">
        <f>P68/A131*52</f>
        <v>#DIV/0!</v>
      </c>
      <c r="F68" s="67">
        <f t="shared" si="25"/>
        <v>695</v>
      </c>
      <c r="G68" s="24"/>
      <c r="H68" s="46"/>
      <c r="I68" s="26">
        <v>18</v>
      </c>
      <c r="J68" s="26">
        <v>27</v>
      </c>
      <c r="K68" s="26">
        <v>35</v>
      </c>
      <c r="L68" s="26">
        <v>45</v>
      </c>
      <c r="M68" s="26">
        <v>56</v>
      </c>
      <c r="N68" s="26">
        <v>68</v>
      </c>
      <c r="O68" s="26">
        <v>77</v>
      </c>
      <c r="P68" s="26">
        <v>83</v>
      </c>
      <c r="Q68" s="26">
        <v>88</v>
      </c>
      <c r="R68" s="203">
        <f t="shared" si="29"/>
        <v>93.5</v>
      </c>
      <c r="S68" s="27">
        <v>99</v>
      </c>
      <c r="T68" s="2">
        <f t="shared" si="4"/>
        <v>5.5</v>
      </c>
    </row>
    <row r="69" spans="1:20" ht="7.5" customHeight="1" x14ac:dyDescent="0.25">
      <c r="A69" s="17"/>
      <c r="B69" s="17"/>
      <c r="C69" s="17"/>
      <c r="D69" s="17"/>
      <c r="E69" s="17"/>
      <c r="F69" s="17" t="str">
        <f t="shared" si="25"/>
        <v/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204"/>
      <c r="S69" s="17"/>
      <c r="T69" s="2">
        <f t="shared" si="4"/>
        <v>0</v>
      </c>
    </row>
    <row r="70" spans="1:20" ht="27.6" x14ac:dyDescent="0.25">
      <c r="A70" s="19" t="s">
        <v>54</v>
      </c>
      <c r="B70" s="20">
        <v>26</v>
      </c>
      <c r="C70" s="20">
        <v>33</v>
      </c>
      <c r="D70" s="21"/>
      <c r="E70" s="22"/>
      <c r="F70" s="67">
        <f t="shared" si="25"/>
        <v>223</v>
      </c>
      <c r="G70" s="24"/>
      <c r="H70" s="46"/>
      <c r="I70" s="26">
        <v>11</v>
      </c>
      <c r="J70" s="26">
        <v>13</v>
      </c>
      <c r="K70" s="26">
        <v>14</v>
      </c>
      <c r="L70" s="26">
        <v>17</v>
      </c>
      <c r="M70" s="26">
        <v>18</v>
      </c>
      <c r="N70" s="26">
        <v>20</v>
      </c>
      <c r="O70" s="26">
        <v>21</v>
      </c>
      <c r="P70" s="26">
        <v>26</v>
      </c>
      <c r="Q70" s="26">
        <v>27</v>
      </c>
      <c r="R70" s="203">
        <f t="shared" si="29"/>
        <v>27.5</v>
      </c>
      <c r="S70" s="27">
        <v>28</v>
      </c>
      <c r="T70" s="2">
        <f t="shared" si="4"/>
        <v>0.5</v>
      </c>
    </row>
    <row r="71" spans="1:20" ht="7.5" customHeight="1" x14ac:dyDescent="0.25">
      <c r="A71" s="17"/>
      <c r="B71" s="17"/>
      <c r="C71" s="17"/>
      <c r="D71" s="17"/>
      <c r="E71" s="17"/>
      <c r="F71" s="17" t="str">
        <f t="shared" si="25"/>
        <v/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204">
        <f t="shared" si="29"/>
        <v>0</v>
      </c>
      <c r="S71" s="17"/>
      <c r="T71" s="2">
        <f t="shared" si="4"/>
        <v>0</v>
      </c>
    </row>
    <row r="72" spans="1:20" ht="13.8" x14ac:dyDescent="0.25">
      <c r="A72" s="19" t="s">
        <v>55</v>
      </c>
      <c r="B72" s="20">
        <v>62</v>
      </c>
      <c r="C72" s="20">
        <v>87</v>
      </c>
      <c r="D72" s="21">
        <v>90</v>
      </c>
      <c r="E72" s="22">
        <v>77</v>
      </c>
      <c r="F72" s="67">
        <f>IF((SUM(H72:VF72))=0,"",(SUM(H72:VF72)))</f>
        <v>471</v>
      </c>
      <c r="G72" s="24"/>
      <c r="H72" s="46"/>
      <c r="I72" s="26">
        <v>15</v>
      </c>
      <c r="J72" s="26">
        <v>17</v>
      </c>
      <c r="K72" s="26">
        <v>18</v>
      </c>
      <c r="L72" s="26">
        <v>25</v>
      </c>
      <c r="M72" s="26">
        <v>42</v>
      </c>
      <c r="N72" s="26">
        <v>42</v>
      </c>
      <c r="O72" s="26">
        <v>52</v>
      </c>
      <c r="P72" s="26">
        <v>57</v>
      </c>
      <c r="Q72" s="26">
        <v>59</v>
      </c>
      <c r="R72" s="203">
        <f t="shared" si="29"/>
        <v>65.5</v>
      </c>
      <c r="S72" s="27">
        <v>72</v>
      </c>
      <c r="T72" s="2">
        <f t="shared" si="4"/>
        <v>6.5</v>
      </c>
    </row>
    <row r="73" spans="1:20" ht="7.5" customHeight="1" x14ac:dyDescent="0.25">
      <c r="A73" s="17"/>
      <c r="B73" s="17"/>
      <c r="C73" s="17"/>
      <c r="D73" s="17"/>
      <c r="E73" s="17"/>
      <c r="F73" s="17" t="str">
        <f t="shared" si="25"/>
        <v/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04"/>
      <c r="S73" s="17"/>
      <c r="T73" s="2">
        <f t="shared" ref="T73:T124" si="30">S73-R73</f>
        <v>0</v>
      </c>
    </row>
    <row r="74" spans="1:20" ht="14.4" thickBot="1" x14ac:dyDescent="0.3">
      <c r="A74" s="19" t="s">
        <v>56</v>
      </c>
      <c r="B74" s="20">
        <v>32</v>
      </c>
      <c r="C74" s="20">
        <v>34</v>
      </c>
      <c r="D74" s="21"/>
      <c r="E74" s="22"/>
      <c r="F74" s="67">
        <f t="shared" si="25"/>
        <v>196</v>
      </c>
      <c r="G74" s="24"/>
      <c r="H74" s="48"/>
      <c r="I74" s="26">
        <v>5</v>
      </c>
      <c r="J74" s="26">
        <v>7</v>
      </c>
      <c r="K74" s="26">
        <v>7</v>
      </c>
      <c r="L74" s="26">
        <v>12</v>
      </c>
      <c r="M74" s="26">
        <v>14</v>
      </c>
      <c r="N74" s="26">
        <v>15</v>
      </c>
      <c r="O74" s="26">
        <v>15</v>
      </c>
      <c r="P74" s="26">
        <v>26</v>
      </c>
      <c r="Q74" s="26">
        <v>29</v>
      </c>
      <c r="R74" s="203">
        <f t="shared" si="29"/>
        <v>31</v>
      </c>
      <c r="S74" s="27">
        <v>33</v>
      </c>
      <c r="T74" s="2">
        <f t="shared" si="30"/>
        <v>2</v>
      </c>
    </row>
    <row r="75" spans="1:20" ht="15.9" customHeight="1" thickBot="1" x14ac:dyDescent="0.35">
      <c r="A75" s="38" t="s">
        <v>57</v>
      </c>
      <c r="B75" s="39">
        <f>SUM(B66:B68)</f>
        <v>175</v>
      </c>
      <c r="C75" s="39">
        <f>SUM(C66:C68)</f>
        <v>227</v>
      </c>
      <c r="D75" s="49">
        <f t="shared" ref="D75:O75" si="31">SUM(D66:D68)</f>
        <v>153</v>
      </c>
      <c r="E75" s="55" t="e">
        <f t="shared" si="31"/>
        <v>#DIV/0!</v>
      </c>
      <c r="F75" s="62">
        <f t="shared" si="25"/>
        <v>1831</v>
      </c>
      <c r="G75" s="24"/>
      <c r="H75" s="40"/>
      <c r="I75" s="44">
        <f t="shared" si="31"/>
        <v>50</v>
      </c>
      <c r="J75" s="44">
        <f t="shared" si="31"/>
        <v>75</v>
      </c>
      <c r="K75" s="44">
        <f t="shared" si="31"/>
        <v>91</v>
      </c>
      <c r="L75" s="44">
        <f t="shared" si="31"/>
        <v>118</v>
      </c>
      <c r="M75" s="44">
        <f t="shared" si="31"/>
        <v>147</v>
      </c>
      <c r="N75" s="44">
        <f t="shared" si="31"/>
        <v>178</v>
      </c>
      <c r="O75" s="44">
        <f t="shared" si="31"/>
        <v>198</v>
      </c>
      <c r="P75" s="44">
        <f>SUM(P66:P68)</f>
        <v>214</v>
      </c>
      <c r="Q75" s="44">
        <f t="shared" ref="Q75" si="32">SUM(Q66:Q68)</f>
        <v>230</v>
      </c>
      <c r="R75" s="44">
        <f>SUM(R66:R68)</f>
        <v>247.5</v>
      </c>
      <c r="S75" s="44">
        <f>SUM(S66:S68)</f>
        <v>265</v>
      </c>
      <c r="T75" s="2">
        <f t="shared" si="30"/>
        <v>17.5</v>
      </c>
    </row>
    <row r="76" spans="1:20" ht="4.5" hidden="1" customHeight="1" x14ac:dyDescent="0.25">
      <c r="A76" s="28"/>
      <c r="B76" s="87"/>
      <c r="C76" s="88"/>
      <c r="D76" s="89"/>
      <c r="E76" s="90"/>
      <c r="F76" s="91" t="str">
        <f t="shared" si="25"/>
        <v/>
      </c>
      <c r="G76" s="24"/>
      <c r="I76" s="17"/>
      <c r="J76" s="17"/>
      <c r="K76" s="17"/>
      <c r="L76" s="17"/>
      <c r="M76" s="17"/>
      <c r="N76" s="17"/>
      <c r="O76" s="17"/>
      <c r="P76" s="92"/>
      <c r="Q76" s="17"/>
      <c r="R76" s="17"/>
      <c r="S76" s="18"/>
      <c r="T76" s="2">
        <f t="shared" si="30"/>
        <v>0</v>
      </c>
    </row>
    <row r="77" spans="1:20" ht="14.4" x14ac:dyDescent="0.25">
      <c r="A77" s="66" t="s">
        <v>58</v>
      </c>
      <c r="C77" s="17"/>
      <c r="D77" s="17"/>
      <c r="E77" s="17"/>
      <c r="F77" s="17" t="str">
        <f t="shared" si="25"/>
        <v/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2">
        <f t="shared" si="30"/>
        <v>0</v>
      </c>
    </row>
    <row r="78" spans="1:20" ht="11.25" customHeight="1" x14ac:dyDescent="0.25">
      <c r="A78" s="66" t="s">
        <v>59</v>
      </c>
      <c r="C78" s="17"/>
      <c r="D78" s="17"/>
      <c r="E78" s="17"/>
      <c r="F78" s="17" t="str">
        <f t="shared" si="25"/>
        <v/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"/>
      <c r="T78" s="2">
        <f t="shared" si="30"/>
        <v>0</v>
      </c>
    </row>
    <row r="79" spans="1:20" ht="13.8" x14ac:dyDescent="0.25">
      <c r="A79" s="19" t="s">
        <v>60</v>
      </c>
      <c r="B79" s="20">
        <v>67</v>
      </c>
      <c r="C79" s="20">
        <v>113</v>
      </c>
      <c r="D79" s="21">
        <v>200</v>
      </c>
      <c r="E79" s="22" t="e">
        <f>P79/'S&amp;D  March 17 '!A131*52</f>
        <v>#DIV/0!</v>
      </c>
      <c r="F79" s="67">
        <f t="shared" si="25"/>
        <v>1026</v>
      </c>
      <c r="G79" s="24"/>
      <c r="H79" s="46"/>
      <c r="I79" s="26">
        <v>31</v>
      </c>
      <c r="J79" s="26">
        <v>47</v>
      </c>
      <c r="K79" s="26">
        <v>55</v>
      </c>
      <c r="L79" s="26">
        <v>69</v>
      </c>
      <c r="M79" s="26">
        <v>83</v>
      </c>
      <c r="N79" s="26">
        <v>97</v>
      </c>
      <c r="O79" s="26">
        <v>109</v>
      </c>
      <c r="P79" s="26">
        <v>119</v>
      </c>
      <c r="Q79" s="26">
        <v>128</v>
      </c>
      <c r="R79" s="26">
        <f t="shared" ref="R79:R80" si="33">(Q79+S79)/2</f>
        <v>136</v>
      </c>
      <c r="S79" s="27">
        <v>144</v>
      </c>
      <c r="T79" s="2">
        <f t="shared" si="30"/>
        <v>8</v>
      </c>
    </row>
    <row r="80" spans="1:20" ht="14.4" thickBot="1" x14ac:dyDescent="0.3">
      <c r="A80" s="19" t="s">
        <v>61</v>
      </c>
      <c r="B80" s="20">
        <v>2</v>
      </c>
      <c r="C80" s="20">
        <v>2</v>
      </c>
      <c r="D80" s="21"/>
      <c r="E80" s="22" t="e">
        <f>P80/A131*52</f>
        <v>#DIV/0!</v>
      </c>
      <c r="F80" s="67">
        <f t="shared" si="25"/>
        <v>107</v>
      </c>
      <c r="G80" s="24"/>
      <c r="H80" s="48"/>
      <c r="I80" s="26">
        <v>3</v>
      </c>
      <c r="J80" s="26">
        <v>3</v>
      </c>
      <c r="K80" s="26">
        <v>5</v>
      </c>
      <c r="L80" s="26">
        <v>7</v>
      </c>
      <c r="M80" s="26">
        <v>10</v>
      </c>
      <c r="N80" s="26">
        <v>11</v>
      </c>
      <c r="O80" s="26">
        <v>12</v>
      </c>
      <c r="P80" s="26">
        <v>13</v>
      </c>
      <c r="Q80" s="26">
        <v>13</v>
      </c>
      <c r="R80" s="26">
        <f t="shared" si="33"/>
        <v>14</v>
      </c>
      <c r="S80" s="27">
        <v>15</v>
      </c>
      <c r="T80" s="2">
        <f t="shared" si="30"/>
        <v>1</v>
      </c>
    </row>
    <row r="81" spans="1:20" ht="14.4" thickBot="1" x14ac:dyDescent="0.35">
      <c r="A81" s="38" t="s">
        <v>62</v>
      </c>
      <c r="B81" s="39">
        <f>B79</f>
        <v>67</v>
      </c>
      <c r="C81" s="39">
        <f>C79</f>
        <v>113</v>
      </c>
      <c r="D81" s="49">
        <f>D79</f>
        <v>200</v>
      </c>
      <c r="E81" s="55" t="e">
        <f t="shared" ref="E81:O81" si="34">E79</f>
        <v>#DIV/0!</v>
      </c>
      <c r="F81" s="62">
        <f t="shared" si="25"/>
        <v>1026</v>
      </c>
      <c r="G81" s="24"/>
      <c r="H81" s="40"/>
      <c r="I81" s="44">
        <f t="shared" si="34"/>
        <v>31</v>
      </c>
      <c r="J81" s="44">
        <f t="shared" si="34"/>
        <v>47</v>
      </c>
      <c r="K81" s="44">
        <f t="shared" si="34"/>
        <v>55</v>
      </c>
      <c r="L81" s="44">
        <f t="shared" si="34"/>
        <v>69</v>
      </c>
      <c r="M81" s="44">
        <f t="shared" si="34"/>
        <v>83</v>
      </c>
      <c r="N81" s="44">
        <f>N79</f>
        <v>97</v>
      </c>
      <c r="O81" s="44">
        <f t="shared" si="34"/>
        <v>109</v>
      </c>
      <c r="P81" s="44">
        <f>P79</f>
        <v>119</v>
      </c>
      <c r="Q81" s="44">
        <f t="shared" ref="Q81:S81" si="35">Q79</f>
        <v>128</v>
      </c>
      <c r="R81" s="44">
        <f>R79</f>
        <v>136</v>
      </c>
      <c r="S81" s="44">
        <f t="shared" si="35"/>
        <v>144</v>
      </c>
      <c r="T81" s="2">
        <f t="shared" si="30"/>
        <v>8</v>
      </c>
    </row>
    <row r="82" spans="1:20" ht="8.25" hidden="1" customHeight="1" x14ac:dyDescent="0.25">
      <c r="A82" s="28"/>
      <c r="B82" s="93"/>
      <c r="C82" s="88"/>
      <c r="D82" s="94"/>
      <c r="E82" s="95"/>
      <c r="F82" s="91" t="str">
        <f t="shared" si="25"/>
        <v/>
      </c>
      <c r="G82" s="24"/>
      <c r="I82" s="17"/>
      <c r="J82" s="17"/>
      <c r="K82" s="17"/>
      <c r="L82" s="17"/>
      <c r="M82" s="17"/>
      <c r="N82" s="17"/>
      <c r="O82" s="17"/>
      <c r="P82" s="96"/>
      <c r="Q82" s="17"/>
      <c r="R82" s="17"/>
      <c r="S82" s="18"/>
      <c r="T82" s="2">
        <f t="shared" si="30"/>
        <v>0</v>
      </c>
    </row>
    <row r="83" spans="1:20" ht="28.8" x14ac:dyDescent="0.25">
      <c r="A83" s="97" t="s">
        <v>63</v>
      </c>
      <c r="C83" s="17"/>
      <c r="D83" s="17"/>
      <c r="E83" s="17"/>
      <c r="F83" s="17" t="str">
        <f t="shared" si="25"/>
        <v/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8"/>
      <c r="T83" s="2">
        <f t="shared" si="30"/>
        <v>0</v>
      </c>
    </row>
    <row r="84" spans="1:20" ht="39.75" customHeight="1" x14ac:dyDescent="0.25">
      <c r="A84" s="98" t="s">
        <v>64</v>
      </c>
      <c r="B84" s="99">
        <v>289</v>
      </c>
      <c r="C84" s="100">
        <f>C59</f>
        <v>463</v>
      </c>
      <c r="D84" s="100">
        <v>295</v>
      </c>
      <c r="E84" s="22" t="e">
        <f>E59</f>
        <v>#DIV/0!</v>
      </c>
      <c r="F84" s="101">
        <f t="shared" si="25"/>
        <v>1913</v>
      </c>
      <c r="G84" s="102"/>
      <c r="H84" s="103"/>
      <c r="I84" s="103">
        <f t="shared" ref="I84:S84" si="36">I59</f>
        <v>20</v>
      </c>
      <c r="J84" s="103">
        <f t="shared" si="36"/>
        <v>21</v>
      </c>
      <c r="K84" s="103">
        <f t="shared" si="36"/>
        <v>134</v>
      </c>
      <c r="L84" s="103">
        <f t="shared" si="36"/>
        <v>143</v>
      </c>
      <c r="M84" s="103">
        <f t="shared" si="36"/>
        <v>177</v>
      </c>
      <c r="N84" s="103">
        <f t="shared" si="36"/>
        <v>193</v>
      </c>
      <c r="O84" s="103">
        <f t="shared" si="36"/>
        <v>199</v>
      </c>
      <c r="P84" s="103">
        <f t="shared" si="36"/>
        <v>211</v>
      </c>
      <c r="Q84" s="103">
        <f t="shared" si="36"/>
        <v>217</v>
      </c>
      <c r="R84" s="103">
        <f t="shared" si="36"/>
        <v>258</v>
      </c>
      <c r="S84" s="103">
        <f t="shared" si="36"/>
        <v>299</v>
      </c>
      <c r="T84" s="2">
        <f t="shared" si="30"/>
        <v>41</v>
      </c>
    </row>
    <row r="85" spans="1:20" ht="16.2" thickBot="1" x14ac:dyDescent="0.35">
      <c r="A85" s="104" t="s">
        <v>65</v>
      </c>
      <c r="B85" s="105"/>
      <c r="C85" s="105"/>
      <c r="D85" s="105"/>
      <c r="E85" s="105"/>
      <c r="F85" s="105" t="str">
        <f t="shared" si="25"/>
        <v/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6"/>
      <c r="T85" s="2">
        <f t="shared" si="30"/>
        <v>0</v>
      </c>
    </row>
    <row r="86" spans="1:20" s="115" customFormat="1" ht="16.5" hidden="1" customHeight="1" thickTop="1" x14ac:dyDescent="0.3">
      <c r="A86" s="107"/>
      <c r="B86" s="35"/>
      <c r="C86" s="108" t="s">
        <v>66</v>
      </c>
      <c r="D86" s="109"/>
      <c r="E86" s="110"/>
      <c r="F86" s="84" t="str">
        <f t="shared" si="25"/>
        <v/>
      </c>
      <c r="G86" s="13"/>
      <c r="H86" s="111"/>
      <c r="I86" s="112"/>
      <c r="J86" s="112"/>
      <c r="K86" s="112"/>
      <c r="L86" s="112"/>
      <c r="M86" s="112"/>
      <c r="N86" s="112"/>
      <c r="O86" s="112"/>
      <c r="P86" s="113"/>
      <c r="Q86" s="112"/>
      <c r="R86" s="112"/>
      <c r="S86" s="114"/>
      <c r="T86" s="2">
        <f t="shared" si="30"/>
        <v>0</v>
      </c>
    </row>
    <row r="87" spans="1:20" s="115" customFormat="1" ht="16.5" hidden="1" customHeight="1" x14ac:dyDescent="0.3">
      <c r="A87" s="107"/>
      <c r="B87" s="35"/>
      <c r="C87" s="108" t="s">
        <v>67</v>
      </c>
      <c r="D87" s="89"/>
      <c r="E87" s="110"/>
      <c r="F87" s="91" t="str">
        <f t="shared" si="25"/>
        <v/>
      </c>
      <c r="G87" s="24"/>
      <c r="H87" s="111"/>
      <c r="I87" s="112"/>
      <c r="J87" s="112"/>
      <c r="K87" s="112"/>
      <c r="L87" s="112"/>
      <c r="M87" s="112"/>
      <c r="N87" s="112"/>
      <c r="O87" s="112"/>
      <c r="P87" s="113"/>
      <c r="Q87" s="112"/>
      <c r="R87" s="112"/>
      <c r="S87" s="114"/>
      <c r="T87" s="2">
        <f t="shared" si="30"/>
        <v>0</v>
      </c>
    </row>
    <row r="88" spans="1:20" s="115" customFormat="1" ht="16.5" hidden="1" customHeight="1" thickBot="1" x14ac:dyDescent="0.35">
      <c r="A88" s="116"/>
      <c r="B88" s="111"/>
      <c r="C88" s="117">
        <f>C4</f>
        <v>0</v>
      </c>
      <c r="D88" s="118"/>
      <c r="E88" s="119"/>
      <c r="F88" s="91" t="str">
        <f t="shared" si="25"/>
        <v/>
      </c>
      <c r="G88" s="24"/>
      <c r="H88" s="111"/>
      <c r="I88" s="112"/>
      <c r="J88" s="112"/>
      <c r="K88" s="112"/>
      <c r="L88" s="112"/>
      <c r="M88" s="112"/>
      <c r="N88" s="112"/>
      <c r="O88" s="112"/>
      <c r="P88" s="120"/>
      <c r="Q88" s="112"/>
      <c r="R88" s="112"/>
      <c r="S88" s="114"/>
      <c r="T88" s="2">
        <f t="shared" si="30"/>
        <v>0</v>
      </c>
    </row>
    <row r="89" spans="1:20" ht="15.9" hidden="1" customHeight="1" x14ac:dyDescent="0.25">
      <c r="A89" s="121"/>
      <c r="B89" s="122"/>
      <c r="C89" s="123"/>
      <c r="D89" s="94"/>
      <c r="E89" s="95"/>
      <c r="F89" s="91" t="str">
        <f t="shared" si="25"/>
        <v/>
      </c>
      <c r="G89" s="24"/>
      <c r="I89" s="17"/>
      <c r="J89" s="17"/>
      <c r="K89" s="17"/>
      <c r="L89" s="17"/>
      <c r="M89" s="17"/>
      <c r="N89" s="17"/>
      <c r="O89" s="17"/>
      <c r="P89" s="124"/>
      <c r="Q89" s="17"/>
      <c r="R89" s="17"/>
      <c r="S89" s="18"/>
      <c r="T89" s="2">
        <f t="shared" si="30"/>
        <v>0</v>
      </c>
    </row>
    <row r="90" spans="1:20" ht="16.5" hidden="1" customHeight="1" x14ac:dyDescent="0.25">
      <c r="A90" s="125" t="s">
        <v>68</v>
      </c>
      <c r="B90" s="126"/>
      <c r="C90" s="127">
        <f t="array" ref="C90">'[1]S&amp;D'!$E$136</f>
        <v>488</v>
      </c>
      <c r="D90" s="128"/>
      <c r="E90" s="129"/>
      <c r="F90" s="91" t="str">
        <f t="shared" si="25"/>
        <v/>
      </c>
      <c r="G90" s="24"/>
      <c r="I90" s="17"/>
      <c r="J90" s="17"/>
      <c r="K90" s="17"/>
      <c r="L90" s="17"/>
      <c r="M90" s="17"/>
      <c r="N90" s="17"/>
      <c r="O90" s="17"/>
      <c r="P90" s="130"/>
      <c r="Q90" s="17"/>
      <c r="R90" s="17"/>
      <c r="S90" s="18"/>
      <c r="T90" s="2">
        <f t="shared" si="30"/>
        <v>0</v>
      </c>
    </row>
    <row r="91" spans="1:20" ht="16.5" hidden="1" customHeight="1" x14ac:dyDescent="0.3">
      <c r="A91" s="131"/>
      <c r="B91" s="126"/>
      <c r="C91" s="132"/>
      <c r="D91" s="128"/>
      <c r="E91" s="129"/>
      <c r="F91" s="91" t="str">
        <f t="shared" si="25"/>
        <v/>
      </c>
      <c r="G91" s="24"/>
      <c r="I91" s="17"/>
      <c r="J91" s="17"/>
      <c r="K91" s="17"/>
      <c r="L91" s="17"/>
      <c r="M91" s="17"/>
      <c r="N91" s="17"/>
      <c r="O91" s="17"/>
      <c r="P91" s="130"/>
      <c r="Q91" s="17"/>
      <c r="R91" s="17"/>
      <c r="S91" s="18"/>
      <c r="T91" s="2">
        <f t="shared" si="30"/>
        <v>0</v>
      </c>
    </row>
    <row r="92" spans="1:20" ht="16.5" hidden="1" customHeight="1" x14ac:dyDescent="0.25">
      <c r="A92" s="125" t="s">
        <v>69</v>
      </c>
      <c r="B92" s="126"/>
      <c r="C92" s="127">
        <f t="array" ref="C92">'[1]S&amp;D'!$E$138</f>
        <v>300</v>
      </c>
      <c r="D92" s="128"/>
      <c r="E92" s="129"/>
      <c r="F92" s="91" t="str">
        <f t="shared" si="25"/>
        <v/>
      </c>
      <c r="G92" s="24"/>
      <c r="I92" s="17"/>
      <c r="J92" s="17"/>
      <c r="K92" s="17"/>
      <c r="L92" s="17"/>
      <c r="M92" s="17"/>
      <c r="N92" s="17"/>
      <c r="O92" s="17"/>
      <c r="P92" s="130"/>
      <c r="Q92" s="17"/>
      <c r="R92" s="17"/>
      <c r="S92" s="18"/>
      <c r="T92" s="2">
        <f t="shared" si="30"/>
        <v>0</v>
      </c>
    </row>
    <row r="93" spans="1:20" ht="16.5" hidden="1" customHeight="1" x14ac:dyDescent="0.3">
      <c r="A93" s="131"/>
      <c r="B93" s="126"/>
      <c r="C93" s="133"/>
      <c r="D93" s="128"/>
      <c r="E93" s="129"/>
      <c r="F93" s="91" t="str">
        <f t="shared" si="25"/>
        <v/>
      </c>
      <c r="G93" s="24"/>
      <c r="I93" s="17"/>
      <c r="J93" s="17"/>
      <c r="K93" s="17"/>
      <c r="L93" s="17"/>
      <c r="M93" s="17"/>
      <c r="N93" s="17"/>
      <c r="O93" s="17"/>
      <c r="P93" s="130"/>
      <c r="Q93" s="17"/>
      <c r="R93" s="17"/>
      <c r="S93" s="18"/>
      <c r="T93" s="2">
        <f t="shared" si="30"/>
        <v>0</v>
      </c>
    </row>
    <row r="94" spans="1:20" ht="16.5" hidden="1" customHeight="1" x14ac:dyDescent="0.3">
      <c r="A94" s="131" t="s">
        <v>70</v>
      </c>
      <c r="B94" s="126"/>
      <c r="C94" s="133">
        <f t="array" ref="C94">'[1]S&amp;D'!$E$140</f>
        <v>88</v>
      </c>
      <c r="D94" s="128"/>
      <c r="E94" s="129"/>
      <c r="F94" s="91" t="str">
        <f t="shared" si="25"/>
        <v/>
      </c>
      <c r="G94" s="24"/>
      <c r="I94" s="17"/>
      <c r="J94" s="17"/>
      <c r="K94" s="17"/>
      <c r="L94" s="17"/>
      <c r="M94" s="17"/>
      <c r="N94" s="17"/>
      <c r="O94" s="17"/>
      <c r="P94" s="130"/>
      <c r="Q94" s="17"/>
      <c r="R94" s="17"/>
      <c r="S94" s="18"/>
      <c r="T94" s="2">
        <f t="shared" si="30"/>
        <v>0</v>
      </c>
    </row>
    <row r="95" spans="1:20" ht="16.5" hidden="1" customHeight="1" x14ac:dyDescent="0.3">
      <c r="A95" s="80"/>
      <c r="B95" s="126"/>
      <c r="C95" s="133"/>
      <c r="D95" s="128"/>
      <c r="E95" s="129"/>
      <c r="F95" s="91" t="str">
        <f t="shared" si="25"/>
        <v/>
      </c>
      <c r="G95" s="24"/>
      <c r="I95" s="17"/>
      <c r="J95" s="17"/>
      <c r="K95" s="17"/>
      <c r="L95" s="17"/>
      <c r="M95" s="17"/>
      <c r="N95" s="17"/>
      <c r="O95" s="17"/>
      <c r="P95" s="130"/>
      <c r="Q95" s="17"/>
      <c r="R95" s="17"/>
      <c r="S95" s="18"/>
      <c r="T95" s="2">
        <f t="shared" si="30"/>
        <v>0</v>
      </c>
    </row>
    <row r="96" spans="1:20" ht="16.5" hidden="1" customHeight="1" x14ac:dyDescent="0.3">
      <c r="A96" s="80" t="s">
        <v>71</v>
      </c>
      <c r="B96" s="126"/>
      <c r="C96" s="133">
        <f t="array" ref="C96">'[1]S&amp;D'!$E$142</f>
        <v>100</v>
      </c>
      <c r="D96" s="128"/>
      <c r="E96" s="129"/>
      <c r="F96" s="91" t="str">
        <f t="shared" si="25"/>
        <v/>
      </c>
      <c r="G96" s="24"/>
      <c r="I96" s="17"/>
      <c r="J96" s="17"/>
      <c r="K96" s="17"/>
      <c r="L96" s="17"/>
      <c r="M96" s="17"/>
      <c r="N96" s="17"/>
      <c r="O96" s="17"/>
      <c r="P96" s="130"/>
      <c r="Q96" s="17"/>
      <c r="R96" s="17"/>
      <c r="S96" s="18"/>
      <c r="T96" s="2">
        <f t="shared" si="30"/>
        <v>0</v>
      </c>
    </row>
    <row r="97" spans="1:20" ht="16.5" hidden="1" customHeight="1" x14ac:dyDescent="0.3">
      <c r="A97" s="80"/>
      <c r="B97" s="126"/>
      <c r="C97" s="133"/>
      <c r="D97" s="128"/>
      <c r="E97" s="129"/>
      <c r="F97" s="91" t="str">
        <f t="shared" si="25"/>
        <v/>
      </c>
      <c r="G97" s="24"/>
      <c r="I97" s="17"/>
      <c r="J97" s="17"/>
      <c r="K97" s="17"/>
      <c r="L97" s="17"/>
      <c r="M97" s="17"/>
      <c r="N97" s="17"/>
      <c r="O97" s="17"/>
      <c r="P97" s="130"/>
      <c r="Q97" s="17"/>
      <c r="R97" s="17"/>
      <c r="S97" s="18"/>
      <c r="T97" s="2">
        <f t="shared" si="30"/>
        <v>0</v>
      </c>
    </row>
    <row r="98" spans="1:20" ht="30.75" hidden="1" customHeight="1" x14ac:dyDescent="0.25">
      <c r="A98" s="125" t="s">
        <v>72</v>
      </c>
      <c r="B98" s="126"/>
      <c r="C98" s="127">
        <f t="array" ref="C98">'[1]S&amp;D'!$E$144</f>
        <v>258</v>
      </c>
      <c r="D98" s="128"/>
      <c r="E98" s="129"/>
      <c r="F98" s="91" t="str">
        <f t="shared" si="25"/>
        <v/>
      </c>
      <c r="G98" s="24"/>
      <c r="I98" s="17"/>
      <c r="J98" s="17"/>
      <c r="K98" s="17"/>
      <c r="L98" s="17"/>
      <c r="M98" s="17"/>
      <c r="N98" s="17"/>
      <c r="O98" s="17"/>
      <c r="P98" s="130"/>
      <c r="Q98" s="17"/>
      <c r="R98" s="17"/>
      <c r="S98" s="18"/>
      <c r="T98" s="2">
        <f t="shared" si="30"/>
        <v>0</v>
      </c>
    </row>
    <row r="99" spans="1:20" ht="15.9" hidden="1" customHeight="1" thickBot="1" x14ac:dyDescent="0.3">
      <c r="A99" s="131"/>
      <c r="B99" s="134"/>
      <c r="C99" s="135"/>
      <c r="D99" s="136"/>
      <c r="E99" s="137"/>
      <c r="F99" s="91" t="str">
        <f t="shared" si="25"/>
        <v/>
      </c>
      <c r="G99" s="24"/>
      <c r="I99" s="17"/>
      <c r="J99" s="17"/>
      <c r="K99" s="17"/>
      <c r="L99" s="17"/>
      <c r="M99" s="17"/>
      <c r="N99" s="17"/>
      <c r="O99" s="17"/>
      <c r="P99" s="138"/>
      <c r="Q99" s="17"/>
      <c r="R99" s="17"/>
      <c r="S99" s="18"/>
      <c r="T99" s="2">
        <f t="shared" si="30"/>
        <v>0</v>
      </c>
    </row>
    <row r="100" spans="1:20" s="115" customFormat="1" ht="26.25" customHeight="1" x14ac:dyDescent="0.25">
      <c r="A100" s="66" t="s">
        <v>73</v>
      </c>
      <c r="B100" s="20">
        <f>SUM(B102,B103)</f>
        <v>3115</v>
      </c>
      <c r="C100" s="20">
        <f>SUM(C102:C103)</f>
        <v>2918</v>
      </c>
      <c r="D100" s="20">
        <v>2500</v>
      </c>
      <c r="E100" s="103"/>
      <c r="F100" s="139">
        <f t="shared" si="25"/>
        <v>28643</v>
      </c>
      <c r="G100" s="24"/>
      <c r="H100" s="46"/>
      <c r="I100" s="26">
        <f t="shared" ref="I100:P100" si="37">SUM(I102,I103)</f>
        <v>2943</v>
      </c>
      <c r="J100" s="26">
        <f t="shared" si="37"/>
        <v>2729</v>
      </c>
      <c r="K100" s="26">
        <f t="shared" si="37"/>
        <v>2577</v>
      </c>
      <c r="L100" s="26">
        <f t="shared" si="37"/>
        <v>2609</v>
      </c>
      <c r="M100" s="26">
        <f t="shared" si="37"/>
        <v>2594</v>
      </c>
      <c r="N100" s="26">
        <f t="shared" si="37"/>
        <v>2582</v>
      </c>
      <c r="O100" s="26">
        <f t="shared" si="37"/>
        <v>2545</v>
      </c>
      <c r="P100" s="26">
        <f t="shared" si="37"/>
        <v>2530</v>
      </c>
      <c r="Q100" s="26">
        <f t="shared" ref="Q100:R100" si="38">SUM(Q102:Q103)</f>
        <v>2518</v>
      </c>
      <c r="R100" s="26">
        <f t="shared" si="38"/>
        <v>2513</v>
      </c>
      <c r="S100" s="140">
        <f>SUM(S102:S103)</f>
        <v>2508</v>
      </c>
      <c r="T100" s="2">
        <f t="shared" si="30"/>
        <v>-5</v>
      </c>
    </row>
    <row r="101" spans="1:20" ht="28.8" x14ac:dyDescent="0.25">
      <c r="A101" s="66" t="s">
        <v>74</v>
      </c>
      <c r="D101" s="17"/>
      <c r="E101" s="17"/>
      <c r="F101" s="17" t="str">
        <f t="shared" si="25"/>
        <v/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8"/>
      <c r="T101" s="2">
        <f t="shared" si="30"/>
        <v>0</v>
      </c>
    </row>
    <row r="102" spans="1:20" ht="13.8" x14ac:dyDescent="0.25">
      <c r="A102" s="141" t="s">
        <v>75</v>
      </c>
      <c r="B102" s="142">
        <v>2484</v>
      </c>
      <c r="C102" s="142">
        <v>2460</v>
      </c>
      <c r="D102" s="143"/>
      <c r="E102" s="144"/>
      <c r="F102" s="145">
        <f t="shared" si="25"/>
        <v>25903</v>
      </c>
      <c r="G102" s="24"/>
      <c r="H102" s="146"/>
      <c r="I102" s="147">
        <v>2507</v>
      </c>
      <c r="J102" s="148">
        <v>2372</v>
      </c>
      <c r="K102" s="148">
        <v>2356</v>
      </c>
      <c r="L102" s="148">
        <v>2365</v>
      </c>
      <c r="M102" s="148">
        <v>2372</v>
      </c>
      <c r="N102" s="148">
        <v>2372</v>
      </c>
      <c r="O102" s="148">
        <v>2351</v>
      </c>
      <c r="P102" s="148">
        <v>2369</v>
      </c>
      <c r="Q102" s="148">
        <v>2339</v>
      </c>
      <c r="R102" s="148">
        <f t="shared" ref="R102" si="39">(Q102+S102)/2</f>
        <v>2294.5</v>
      </c>
      <c r="S102" s="148">
        <v>2250</v>
      </c>
      <c r="T102" s="2">
        <f t="shared" si="30"/>
        <v>-44.5</v>
      </c>
    </row>
    <row r="103" spans="1:20" ht="16.5" customHeight="1" x14ac:dyDescent="0.25">
      <c r="A103" s="141" t="s">
        <v>76</v>
      </c>
      <c r="B103" s="142">
        <v>631</v>
      </c>
      <c r="C103" s="142">
        <v>458</v>
      </c>
      <c r="D103" s="143"/>
      <c r="E103" s="144"/>
      <c r="F103" s="145">
        <f t="shared" si="25"/>
        <v>2740</v>
      </c>
      <c r="G103" s="24"/>
      <c r="H103" s="146"/>
      <c r="I103" s="147">
        <v>436</v>
      </c>
      <c r="J103" s="148">
        <v>357</v>
      </c>
      <c r="K103" s="148">
        <v>221</v>
      </c>
      <c r="L103" s="148">
        <v>244</v>
      </c>
      <c r="M103" s="148">
        <v>222</v>
      </c>
      <c r="N103" s="148">
        <v>210</v>
      </c>
      <c r="O103" s="148">
        <v>194</v>
      </c>
      <c r="P103" s="148">
        <v>161</v>
      </c>
      <c r="Q103" s="148">
        <v>179</v>
      </c>
      <c r="R103" s="148">
        <f>(Q103+S103)/2</f>
        <v>218.5</v>
      </c>
      <c r="S103" s="148">
        <v>258</v>
      </c>
      <c r="T103" s="206">
        <f>S103-R103</f>
        <v>39.5</v>
      </c>
    </row>
    <row r="104" spans="1:20" ht="7.5" customHeight="1" x14ac:dyDescent="0.25">
      <c r="A104" s="28"/>
      <c r="C104" s="17"/>
      <c r="D104" s="17"/>
      <c r="E104" s="17"/>
      <c r="F104" s="17" t="str">
        <f t="shared" si="25"/>
        <v/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8"/>
      <c r="T104" s="2">
        <f t="shared" si="30"/>
        <v>0</v>
      </c>
    </row>
    <row r="105" spans="1:20" ht="14.4" x14ac:dyDescent="0.25">
      <c r="A105" s="66" t="s">
        <v>77</v>
      </c>
      <c r="C105" s="17"/>
      <c r="D105" s="17"/>
      <c r="E105" s="17"/>
      <c r="F105" s="17" t="str">
        <f t="shared" si="25"/>
        <v/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8"/>
      <c r="T105" s="2">
        <f t="shared" si="30"/>
        <v>0</v>
      </c>
    </row>
    <row r="106" spans="1:20" ht="14.4" x14ac:dyDescent="0.25">
      <c r="A106" s="66" t="s">
        <v>78</v>
      </c>
      <c r="B106" s="20">
        <v>1145</v>
      </c>
      <c r="C106" s="20">
        <v>1003</v>
      </c>
      <c r="D106" s="21">
        <v>879</v>
      </c>
      <c r="E106" s="22"/>
      <c r="F106" s="67">
        <f t="shared" si="25"/>
        <v>8598</v>
      </c>
      <c r="G106" s="24"/>
      <c r="H106" s="46"/>
      <c r="I106" s="26">
        <v>968</v>
      </c>
      <c r="J106" s="26">
        <v>949</v>
      </c>
      <c r="K106" s="26">
        <v>805</v>
      </c>
      <c r="L106" s="26">
        <v>791</v>
      </c>
      <c r="M106" s="26">
        <v>764</v>
      </c>
      <c r="N106" s="26">
        <v>752</v>
      </c>
      <c r="O106" s="26">
        <v>747</v>
      </c>
      <c r="P106" s="26">
        <v>746</v>
      </c>
      <c r="Q106" s="26">
        <v>754</v>
      </c>
      <c r="R106" s="202">
        <f>(Q106+S106)/2</f>
        <v>707.5</v>
      </c>
      <c r="S106" s="27">
        <v>661</v>
      </c>
      <c r="T106" s="2">
        <f t="shared" si="30"/>
        <v>-46.5</v>
      </c>
    </row>
    <row r="107" spans="1:20" ht="25.5" customHeight="1" x14ac:dyDescent="0.25">
      <c r="A107" s="19" t="s">
        <v>79</v>
      </c>
      <c r="B107" s="20">
        <v>3</v>
      </c>
      <c r="C107" s="20">
        <v>3</v>
      </c>
      <c r="D107" s="21"/>
      <c r="E107" s="22"/>
      <c r="F107" s="67">
        <f t="shared" si="25"/>
        <v>60</v>
      </c>
      <c r="G107" s="24"/>
      <c r="H107" s="46"/>
      <c r="I107" s="26">
        <v>7</v>
      </c>
      <c r="J107" s="26">
        <v>7</v>
      </c>
      <c r="K107" s="26">
        <v>7</v>
      </c>
      <c r="L107" s="26">
        <v>7</v>
      </c>
      <c r="M107" s="26">
        <v>7</v>
      </c>
      <c r="N107" s="26">
        <v>7</v>
      </c>
      <c r="O107" s="26">
        <v>7</v>
      </c>
      <c r="P107" s="26">
        <v>6</v>
      </c>
      <c r="Q107" s="26">
        <v>5</v>
      </c>
      <c r="R107" s="202">
        <f t="shared" ref="R107:R109" si="40">(Q107+S107)/2</f>
        <v>2.5</v>
      </c>
      <c r="S107" s="27">
        <v>0</v>
      </c>
      <c r="T107" s="2">
        <f t="shared" si="30"/>
        <v>-2.5</v>
      </c>
    </row>
    <row r="108" spans="1:20" s="61" customFormat="1" ht="13.8" x14ac:dyDescent="0.25">
      <c r="A108" s="19" t="s">
        <v>80</v>
      </c>
      <c r="B108" s="20">
        <v>165</v>
      </c>
      <c r="C108" s="20">
        <v>206</v>
      </c>
      <c r="D108" s="21"/>
      <c r="E108" s="22"/>
      <c r="F108" s="67">
        <f t="shared" ref="F108:F125" si="41">IF((SUM(H108:VF108))=0,"",(SUM(H108:VF108)))</f>
        <v>2576</v>
      </c>
      <c r="G108" s="24"/>
      <c r="H108" s="46"/>
      <c r="I108" s="26">
        <v>238</v>
      </c>
      <c r="J108" s="26">
        <v>210</v>
      </c>
      <c r="K108" s="26">
        <v>234</v>
      </c>
      <c r="L108" s="26">
        <v>231</v>
      </c>
      <c r="M108" s="26">
        <v>243</v>
      </c>
      <c r="N108" s="26">
        <v>250</v>
      </c>
      <c r="O108" s="26">
        <v>231</v>
      </c>
      <c r="P108" s="26">
        <v>196</v>
      </c>
      <c r="Q108" s="26">
        <v>247</v>
      </c>
      <c r="R108" s="202">
        <f t="shared" si="40"/>
        <v>247.5</v>
      </c>
      <c r="S108" s="27">
        <v>248</v>
      </c>
      <c r="T108" s="2">
        <f t="shared" si="30"/>
        <v>0.5</v>
      </c>
    </row>
    <row r="109" spans="1:20" ht="27.6" x14ac:dyDescent="0.25">
      <c r="A109" s="19" t="s">
        <v>81</v>
      </c>
      <c r="B109" s="20">
        <v>1110</v>
      </c>
      <c r="C109" s="20">
        <v>1050</v>
      </c>
      <c r="D109" s="21"/>
      <c r="E109" s="22"/>
      <c r="F109" s="67">
        <f t="shared" si="41"/>
        <v>8310</v>
      </c>
      <c r="G109" s="24"/>
      <c r="H109" s="46"/>
      <c r="I109" s="26">
        <v>939</v>
      </c>
      <c r="J109" s="26">
        <v>918</v>
      </c>
      <c r="K109" s="26">
        <v>768</v>
      </c>
      <c r="L109" s="26">
        <v>756</v>
      </c>
      <c r="M109" s="26">
        <v>734</v>
      </c>
      <c r="N109" s="26">
        <v>724</v>
      </c>
      <c r="O109" s="26">
        <v>722</v>
      </c>
      <c r="P109" s="26">
        <v>726</v>
      </c>
      <c r="Q109" s="26">
        <v>731</v>
      </c>
      <c r="R109" s="202">
        <f t="shared" si="40"/>
        <v>688.5</v>
      </c>
      <c r="S109" s="27">
        <v>646</v>
      </c>
      <c r="T109" s="2">
        <f t="shared" si="30"/>
        <v>-42.5</v>
      </c>
    </row>
    <row r="110" spans="1:20" ht="7.5" customHeight="1" x14ac:dyDescent="0.25">
      <c r="A110" s="17"/>
      <c r="B110" s="17"/>
      <c r="C110" s="17"/>
      <c r="D110" s="17"/>
      <c r="E110" s="17"/>
      <c r="F110" s="17" t="str">
        <f t="shared" si="41"/>
        <v/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205"/>
      <c r="S110" s="18"/>
      <c r="T110" s="2">
        <f t="shared" si="30"/>
        <v>0</v>
      </c>
    </row>
    <row r="111" spans="1:20" ht="14.4" x14ac:dyDescent="0.25">
      <c r="A111" s="66" t="s">
        <v>82</v>
      </c>
      <c r="B111" s="20">
        <f>SUM(B112:B114)</f>
        <v>808</v>
      </c>
      <c r="C111" s="20">
        <f>SUM(C112:C114)</f>
        <v>843</v>
      </c>
      <c r="D111" s="21">
        <v>672</v>
      </c>
      <c r="E111" s="22"/>
      <c r="F111" s="67">
        <f t="shared" si="41"/>
        <v>9747</v>
      </c>
      <c r="G111" s="24"/>
      <c r="H111" s="46"/>
      <c r="I111" s="26">
        <f t="shared" ref="I111:P111" si="42">SUM(I112:I114)</f>
        <v>899</v>
      </c>
      <c r="J111" s="26">
        <f t="shared" si="42"/>
        <v>908</v>
      </c>
      <c r="K111" s="26">
        <f t="shared" si="42"/>
        <v>888</v>
      </c>
      <c r="L111" s="26">
        <f t="shared" si="42"/>
        <v>934</v>
      </c>
      <c r="M111" s="26">
        <f t="shared" si="42"/>
        <v>922</v>
      </c>
      <c r="N111" s="26">
        <f t="shared" si="42"/>
        <v>912</v>
      </c>
      <c r="O111" s="26">
        <f t="shared" si="42"/>
        <v>899</v>
      </c>
      <c r="P111" s="26">
        <f t="shared" si="42"/>
        <v>877</v>
      </c>
      <c r="Q111" s="26">
        <v>804</v>
      </c>
      <c r="R111" s="202">
        <f>(Q111+S111)/2</f>
        <v>828</v>
      </c>
      <c r="S111" s="149">
        <v>852</v>
      </c>
      <c r="T111" s="2">
        <f t="shared" si="30"/>
        <v>24</v>
      </c>
    </row>
    <row r="112" spans="1:20" ht="13.8" x14ac:dyDescent="0.25">
      <c r="A112" s="19" t="s">
        <v>83</v>
      </c>
      <c r="B112" s="20">
        <v>294</v>
      </c>
      <c r="C112" s="20">
        <v>339</v>
      </c>
      <c r="D112" s="21">
        <v>238</v>
      </c>
      <c r="E112" s="22"/>
      <c r="F112" s="67">
        <f t="shared" si="41"/>
        <v>3274</v>
      </c>
      <c r="G112" s="24"/>
      <c r="H112" s="46"/>
      <c r="I112" s="26">
        <v>357</v>
      </c>
      <c r="J112" s="26">
        <v>359</v>
      </c>
      <c r="K112" s="26">
        <v>333</v>
      </c>
      <c r="L112" s="26">
        <v>363</v>
      </c>
      <c r="M112" s="26">
        <v>356</v>
      </c>
      <c r="N112" s="26">
        <v>354</v>
      </c>
      <c r="O112" s="26">
        <v>308</v>
      </c>
      <c r="P112" s="26">
        <v>262</v>
      </c>
      <c r="Q112" s="26">
        <v>186</v>
      </c>
      <c r="R112" s="202">
        <f t="shared" ref="R112:R125" si="43">(Q112+S112)/2</f>
        <v>192</v>
      </c>
      <c r="S112" s="150">
        <v>198</v>
      </c>
      <c r="T112" s="2">
        <f t="shared" si="30"/>
        <v>6</v>
      </c>
    </row>
    <row r="113" spans="1:20" ht="13.8" x14ac:dyDescent="0.25">
      <c r="A113" s="19" t="s">
        <v>84</v>
      </c>
      <c r="B113" s="20">
        <v>7</v>
      </c>
      <c r="C113" s="20">
        <v>6</v>
      </c>
      <c r="D113" s="21"/>
      <c r="E113" s="22"/>
      <c r="F113" s="67">
        <f t="shared" si="41"/>
        <v>35</v>
      </c>
      <c r="G113" s="24"/>
      <c r="H113" s="46"/>
      <c r="I113" s="26">
        <v>5</v>
      </c>
      <c r="J113" s="26">
        <v>2</v>
      </c>
      <c r="K113" s="26">
        <v>4</v>
      </c>
      <c r="L113" s="26">
        <v>2</v>
      </c>
      <c r="M113" s="26">
        <v>2</v>
      </c>
      <c r="N113" s="26">
        <v>3</v>
      </c>
      <c r="O113" s="26">
        <v>2</v>
      </c>
      <c r="P113" s="26">
        <v>5</v>
      </c>
      <c r="Q113" s="26">
        <v>4</v>
      </c>
      <c r="R113" s="202">
        <f t="shared" si="43"/>
        <v>3.5</v>
      </c>
      <c r="S113" s="69">
        <v>3</v>
      </c>
      <c r="T113" s="2">
        <f t="shared" si="30"/>
        <v>-0.5</v>
      </c>
    </row>
    <row r="114" spans="1:20" ht="13.8" x14ac:dyDescent="0.25">
      <c r="A114" s="19" t="s">
        <v>85</v>
      </c>
      <c r="B114" s="151">
        <v>507</v>
      </c>
      <c r="C114" s="151">
        <v>498</v>
      </c>
      <c r="D114" s="152"/>
      <c r="E114" s="153"/>
      <c r="F114" s="154">
        <f t="shared" si="41"/>
        <v>6438</v>
      </c>
      <c r="G114" s="34"/>
      <c r="H114" s="46"/>
      <c r="I114" s="26">
        <v>537</v>
      </c>
      <c r="J114" s="26">
        <v>547</v>
      </c>
      <c r="K114" s="26">
        <v>551</v>
      </c>
      <c r="L114" s="26">
        <v>569</v>
      </c>
      <c r="M114" s="26">
        <v>564</v>
      </c>
      <c r="N114" s="26">
        <v>555</v>
      </c>
      <c r="O114" s="26">
        <v>589</v>
      </c>
      <c r="P114" s="26">
        <v>610</v>
      </c>
      <c r="Q114" s="26">
        <v>614</v>
      </c>
      <c r="R114" s="202">
        <f t="shared" si="43"/>
        <v>632.5</v>
      </c>
      <c r="S114" s="150">
        <v>651</v>
      </c>
      <c r="T114" s="2">
        <f t="shared" si="30"/>
        <v>18.5</v>
      </c>
    </row>
    <row r="115" spans="1:20" ht="7.5" customHeight="1" x14ac:dyDescent="0.25">
      <c r="A115" s="17"/>
      <c r="B115" s="17"/>
      <c r="C115" s="17"/>
      <c r="D115" s="17"/>
      <c r="E115" s="17"/>
      <c r="F115" s="17" t="str">
        <f t="shared" si="41"/>
        <v/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205"/>
      <c r="S115" s="155"/>
      <c r="T115" s="2">
        <f t="shared" si="30"/>
        <v>0</v>
      </c>
    </row>
    <row r="116" spans="1:20" ht="27.6" x14ac:dyDescent="0.25">
      <c r="A116" s="19" t="s">
        <v>86</v>
      </c>
      <c r="B116" s="20">
        <v>253</v>
      </c>
      <c r="C116" s="20">
        <v>251</v>
      </c>
      <c r="D116" s="21">
        <v>230</v>
      </c>
      <c r="E116" s="22"/>
      <c r="F116" s="67">
        <f t="shared" si="41"/>
        <v>997</v>
      </c>
      <c r="G116" s="24"/>
      <c r="H116" s="46"/>
      <c r="I116" s="26">
        <v>244</v>
      </c>
      <c r="J116" s="26">
        <v>81</v>
      </c>
      <c r="K116" s="26">
        <v>79</v>
      </c>
      <c r="L116" s="26">
        <v>78</v>
      </c>
      <c r="M116" s="26">
        <v>78</v>
      </c>
      <c r="N116" s="26">
        <v>77</v>
      </c>
      <c r="O116" s="26">
        <v>74</v>
      </c>
      <c r="P116" s="26">
        <v>76</v>
      </c>
      <c r="Q116" s="26">
        <v>74</v>
      </c>
      <c r="R116" s="202">
        <f t="shared" si="43"/>
        <v>71</v>
      </c>
      <c r="S116" s="156">
        <v>68</v>
      </c>
      <c r="T116" s="2">
        <f t="shared" si="30"/>
        <v>-3</v>
      </c>
    </row>
    <row r="117" spans="1:20" ht="27.6" x14ac:dyDescent="0.25">
      <c r="A117" s="19" t="s">
        <v>87</v>
      </c>
      <c r="B117" s="20">
        <v>154</v>
      </c>
      <c r="C117" s="20">
        <v>251</v>
      </c>
      <c r="D117" s="21">
        <v>1</v>
      </c>
      <c r="E117" s="22"/>
      <c r="F117" s="67">
        <f t="shared" si="41"/>
        <v>2769</v>
      </c>
      <c r="G117" s="24"/>
      <c r="H117" s="46"/>
      <c r="I117" s="26">
        <v>263</v>
      </c>
      <c r="J117" s="26">
        <v>250</v>
      </c>
      <c r="K117" s="26">
        <v>254</v>
      </c>
      <c r="L117" s="26">
        <v>257</v>
      </c>
      <c r="M117" s="26">
        <v>265</v>
      </c>
      <c r="N117" s="26">
        <v>264</v>
      </c>
      <c r="O117" s="26">
        <v>240</v>
      </c>
      <c r="P117" s="26">
        <v>239</v>
      </c>
      <c r="Q117" s="26">
        <v>241</v>
      </c>
      <c r="R117" s="202">
        <f>(Q117+S117)/2</f>
        <v>244.5</v>
      </c>
      <c r="S117" s="157">
        <v>248</v>
      </c>
      <c r="T117" s="2">
        <f t="shared" si="30"/>
        <v>3.5</v>
      </c>
    </row>
    <row r="118" spans="1:20" ht="13.8" x14ac:dyDescent="0.25">
      <c r="A118" s="19" t="s">
        <v>88</v>
      </c>
      <c r="B118" s="20">
        <v>397</v>
      </c>
      <c r="C118" s="20">
        <v>200</v>
      </c>
      <c r="D118" s="21">
        <v>450</v>
      </c>
      <c r="E118" s="22"/>
      <c r="F118" s="67">
        <f t="shared" si="41"/>
        <v>1788</v>
      </c>
      <c r="G118" s="24"/>
      <c r="H118" s="46"/>
      <c r="I118" s="26">
        <v>195</v>
      </c>
      <c r="J118" s="26">
        <v>165</v>
      </c>
      <c r="K118" s="26">
        <v>166</v>
      </c>
      <c r="L118" s="26">
        <v>165</v>
      </c>
      <c r="M118" s="26">
        <v>161</v>
      </c>
      <c r="N118" s="26">
        <v>158</v>
      </c>
      <c r="O118" s="26">
        <v>156</v>
      </c>
      <c r="P118" s="26">
        <v>159</v>
      </c>
      <c r="Q118" s="26">
        <v>157</v>
      </c>
      <c r="R118" s="202">
        <f t="shared" si="43"/>
        <v>155</v>
      </c>
      <c r="S118" s="156">
        <v>153</v>
      </c>
      <c r="T118" s="2">
        <f t="shared" si="30"/>
        <v>-2</v>
      </c>
    </row>
    <row r="119" spans="1:20" ht="15.9" hidden="1" customHeight="1" x14ac:dyDescent="0.25">
      <c r="A119" s="19" t="s">
        <v>89</v>
      </c>
      <c r="B119" s="20">
        <v>0</v>
      </c>
      <c r="C119" s="20">
        <v>0</v>
      </c>
      <c r="D119" s="21"/>
      <c r="E119" s="22"/>
      <c r="F119" s="67" t="str">
        <f t="shared" si="41"/>
        <v/>
      </c>
      <c r="G119" s="24"/>
      <c r="H119" s="46"/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/>
      <c r="P119" s="26"/>
      <c r="Q119" s="26"/>
      <c r="R119" s="202">
        <f t="shared" si="43"/>
        <v>0</v>
      </c>
      <c r="S119" s="156"/>
      <c r="T119" s="2">
        <f t="shared" si="30"/>
        <v>0</v>
      </c>
    </row>
    <row r="120" spans="1:20" ht="13.8" x14ac:dyDescent="0.25">
      <c r="A120" s="19" t="s">
        <v>90</v>
      </c>
      <c r="B120" s="20">
        <v>2</v>
      </c>
      <c r="C120" s="20">
        <v>3</v>
      </c>
      <c r="D120" s="21"/>
      <c r="E120" s="22"/>
      <c r="F120" s="67">
        <f t="shared" si="41"/>
        <v>25</v>
      </c>
      <c r="G120" s="24"/>
      <c r="H120" s="46"/>
      <c r="I120" s="26">
        <v>2</v>
      </c>
      <c r="J120" s="26">
        <v>4</v>
      </c>
      <c r="K120" s="26">
        <v>1</v>
      </c>
      <c r="L120" s="26">
        <v>1</v>
      </c>
      <c r="M120" s="26">
        <v>3</v>
      </c>
      <c r="N120" s="26">
        <v>3</v>
      </c>
      <c r="O120" s="26">
        <v>2</v>
      </c>
      <c r="P120" s="26">
        <v>2</v>
      </c>
      <c r="Q120" s="26">
        <v>1</v>
      </c>
      <c r="R120" s="202">
        <f t="shared" si="43"/>
        <v>2</v>
      </c>
      <c r="S120" s="156">
        <v>3</v>
      </c>
      <c r="T120" s="2">
        <f t="shared" si="30"/>
        <v>1</v>
      </c>
    </row>
    <row r="121" spans="1:20" ht="27.6" x14ac:dyDescent="0.25">
      <c r="A121" s="19" t="s">
        <v>91</v>
      </c>
      <c r="B121" s="20">
        <v>111</v>
      </c>
      <c r="C121" s="20">
        <v>100</v>
      </c>
      <c r="D121" s="21">
        <v>87</v>
      </c>
      <c r="E121" s="22"/>
      <c r="F121" s="67">
        <f t="shared" si="41"/>
        <v>1092</v>
      </c>
      <c r="G121" s="24"/>
      <c r="H121" s="46"/>
      <c r="I121" s="26">
        <v>98</v>
      </c>
      <c r="J121" s="26">
        <v>96</v>
      </c>
      <c r="K121" s="26">
        <v>99</v>
      </c>
      <c r="L121" s="26">
        <v>100</v>
      </c>
      <c r="M121" s="26">
        <v>98</v>
      </c>
      <c r="N121" s="26">
        <v>93</v>
      </c>
      <c r="O121" s="26">
        <v>96</v>
      </c>
      <c r="P121" s="26">
        <v>88</v>
      </c>
      <c r="Q121" s="26">
        <v>104</v>
      </c>
      <c r="R121" s="202">
        <f t="shared" si="43"/>
        <v>107</v>
      </c>
      <c r="S121" s="156">
        <v>110</v>
      </c>
      <c r="T121" s="2">
        <f t="shared" si="30"/>
        <v>3</v>
      </c>
    </row>
    <row r="122" spans="1:20" ht="13.8" x14ac:dyDescent="0.25">
      <c r="A122" s="19" t="s">
        <v>92</v>
      </c>
      <c r="B122" s="20">
        <v>1</v>
      </c>
      <c r="C122" s="20">
        <v>1</v>
      </c>
      <c r="D122" s="21">
        <v>8</v>
      </c>
      <c r="E122" s="22"/>
      <c r="F122" s="67">
        <f t="shared" si="41"/>
        <v>11</v>
      </c>
      <c r="G122" s="24"/>
      <c r="H122" s="46"/>
      <c r="I122" s="26">
        <v>1</v>
      </c>
      <c r="J122" s="26">
        <v>1</v>
      </c>
      <c r="K122" s="26">
        <v>1</v>
      </c>
      <c r="L122" s="26">
        <v>1</v>
      </c>
      <c r="M122" s="26">
        <v>1</v>
      </c>
      <c r="N122" s="26">
        <v>1</v>
      </c>
      <c r="O122" s="26">
        <v>1</v>
      </c>
      <c r="P122" s="26">
        <v>1</v>
      </c>
      <c r="Q122" s="26">
        <v>1</v>
      </c>
      <c r="R122" s="202">
        <f t="shared" si="43"/>
        <v>1</v>
      </c>
      <c r="S122" s="156">
        <v>1</v>
      </c>
      <c r="T122" s="2">
        <f t="shared" si="30"/>
        <v>0</v>
      </c>
    </row>
    <row r="123" spans="1:20" ht="13.8" x14ac:dyDescent="0.25">
      <c r="A123" s="19" t="s">
        <v>93</v>
      </c>
      <c r="B123" s="20">
        <v>1</v>
      </c>
      <c r="C123" s="20">
        <v>1</v>
      </c>
      <c r="D123" s="21">
        <v>1</v>
      </c>
      <c r="E123" s="22"/>
      <c r="F123" s="67">
        <f t="shared" si="41"/>
        <v>11</v>
      </c>
      <c r="G123" s="24"/>
      <c r="H123" s="46"/>
      <c r="I123" s="26">
        <v>1</v>
      </c>
      <c r="J123" s="26">
        <v>1</v>
      </c>
      <c r="K123" s="26">
        <v>1</v>
      </c>
      <c r="L123" s="26">
        <v>1</v>
      </c>
      <c r="M123" s="26">
        <v>1</v>
      </c>
      <c r="N123" s="26">
        <v>1</v>
      </c>
      <c r="O123" s="26">
        <v>1</v>
      </c>
      <c r="P123" s="26">
        <v>1</v>
      </c>
      <c r="Q123" s="26">
        <v>1</v>
      </c>
      <c r="R123" s="202">
        <f t="shared" si="43"/>
        <v>1</v>
      </c>
      <c r="S123" s="156">
        <v>1</v>
      </c>
      <c r="T123" s="2">
        <f t="shared" si="30"/>
        <v>0</v>
      </c>
    </row>
    <row r="124" spans="1:20" ht="13.8" x14ac:dyDescent="0.25">
      <c r="A124" s="19" t="s">
        <v>94</v>
      </c>
      <c r="B124" s="20">
        <v>9</v>
      </c>
      <c r="C124" s="20">
        <v>9</v>
      </c>
      <c r="D124" s="21">
        <v>9</v>
      </c>
      <c r="E124" s="22"/>
      <c r="F124" s="67">
        <f t="shared" si="41"/>
        <v>68</v>
      </c>
      <c r="G124" s="24"/>
      <c r="H124" s="46"/>
      <c r="I124" s="26">
        <v>8</v>
      </c>
      <c r="J124" s="26">
        <v>9</v>
      </c>
      <c r="K124" s="26">
        <v>9</v>
      </c>
      <c r="L124" s="26">
        <v>7</v>
      </c>
      <c r="M124" s="26">
        <v>6</v>
      </c>
      <c r="N124" s="26">
        <v>6</v>
      </c>
      <c r="O124" s="26">
        <v>6</v>
      </c>
      <c r="P124" s="26">
        <v>2</v>
      </c>
      <c r="Q124" s="26">
        <v>7</v>
      </c>
      <c r="R124" s="202">
        <f t="shared" si="43"/>
        <v>5.5</v>
      </c>
      <c r="S124" s="156">
        <v>4</v>
      </c>
      <c r="T124" s="2">
        <f t="shared" si="30"/>
        <v>-1.5</v>
      </c>
    </row>
    <row r="125" spans="1:20" ht="30" thickBot="1" x14ac:dyDescent="0.3">
      <c r="A125" s="158" t="s">
        <v>95</v>
      </c>
      <c r="B125" s="159">
        <v>234</v>
      </c>
      <c r="C125" s="159">
        <v>256</v>
      </c>
      <c r="D125" s="160">
        <v>170</v>
      </c>
      <c r="E125" s="161"/>
      <c r="F125" s="162">
        <f t="shared" si="41"/>
        <v>3209</v>
      </c>
      <c r="G125" s="163"/>
      <c r="H125" s="48"/>
      <c r="I125" s="164">
        <v>264</v>
      </c>
      <c r="J125" s="164">
        <v>265</v>
      </c>
      <c r="K125" s="164">
        <v>274</v>
      </c>
      <c r="L125" s="164">
        <v>274</v>
      </c>
      <c r="M125" s="164">
        <v>295</v>
      </c>
      <c r="N125" s="164">
        <v>315</v>
      </c>
      <c r="O125" s="164">
        <v>323</v>
      </c>
      <c r="P125" s="164">
        <v>339</v>
      </c>
      <c r="Q125" s="164">
        <v>374</v>
      </c>
      <c r="R125" s="202">
        <f t="shared" si="43"/>
        <v>308.5</v>
      </c>
      <c r="S125" s="165">
        <v>243</v>
      </c>
      <c r="T125" s="206">
        <f>S125-R125</f>
        <v>-65.5</v>
      </c>
    </row>
    <row r="126" spans="1:20" x14ac:dyDescent="0.25">
      <c r="B126" s="2"/>
      <c r="C126" s="2"/>
      <c r="D126" s="2"/>
      <c r="E126" s="2"/>
      <c r="F126" s="2"/>
      <c r="G126" s="2"/>
      <c r="H126" s="2"/>
      <c r="R126" s="206"/>
    </row>
    <row r="127" spans="1:20" x14ac:dyDescent="0.25">
      <c r="A127" s="166" t="s">
        <v>96</v>
      </c>
      <c r="B127" s="2"/>
      <c r="C127" s="2"/>
      <c r="D127" s="2"/>
      <c r="E127" s="2"/>
      <c r="F127" s="2"/>
      <c r="G127" s="2"/>
      <c r="H127" s="2"/>
    </row>
    <row r="128" spans="1:20" x14ac:dyDescent="0.25">
      <c r="A128" s="166" t="s">
        <v>97</v>
      </c>
      <c r="B128" s="2"/>
      <c r="C128" s="2"/>
      <c r="D128" s="2"/>
      <c r="E128" s="2"/>
      <c r="F128" s="2"/>
      <c r="G128" s="2"/>
      <c r="H128" s="2"/>
    </row>
    <row r="129" spans="1:16" ht="12.75" customHeight="1" x14ac:dyDescent="0.25">
      <c r="A129" s="35"/>
      <c r="D129" s="35"/>
      <c r="E129" s="35"/>
      <c r="F129" s="35"/>
      <c r="G129" s="35"/>
      <c r="H129" s="35"/>
      <c r="I129" s="35"/>
    </row>
    <row r="130" spans="1:16" ht="12.75" hidden="1" customHeight="1" x14ac:dyDescent="0.25">
      <c r="A130" s="167"/>
      <c r="B130" s="168" t="s">
        <v>98</v>
      </c>
      <c r="D130" s="2"/>
      <c r="E130" s="2"/>
      <c r="F130" s="2"/>
      <c r="G130" s="2"/>
      <c r="H130" s="35"/>
    </row>
    <row r="131" spans="1:16" hidden="1" x14ac:dyDescent="0.25">
      <c r="A131" s="169"/>
      <c r="B131" s="168" t="s">
        <v>99</v>
      </c>
      <c r="D131" s="2"/>
      <c r="E131" s="2"/>
      <c r="F131" s="2"/>
      <c r="G131" s="2"/>
      <c r="H131" s="35"/>
    </row>
    <row r="132" spans="1:16" ht="12" hidden="1" customHeight="1" x14ac:dyDescent="0.25">
      <c r="A132" s="167"/>
      <c r="B132" s="168" t="s">
        <v>100</v>
      </c>
      <c r="D132" s="2"/>
      <c r="E132" s="2"/>
      <c r="F132" s="2"/>
      <c r="G132" s="2"/>
      <c r="H132" s="35"/>
    </row>
    <row r="133" spans="1:16" hidden="1" x14ac:dyDescent="0.25">
      <c r="B133" s="2"/>
      <c r="D133" s="2"/>
      <c r="E133" s="2"/>
      <c r="F133" s="2"/>
      <c r="G133" s="2"/>
      <c r="H133" s="35"/>
    </row>
    <row r="134" spans="1:16" hidden="1" x14ac:dyDescent="0.25">
      <c r="B134" s="2"/>
      <c r="D134" s="2"/>
      <c r="E134" s="2"/>
      <c r="F134" s="2"/>
      <c r="G134" s="2"/>
      <c r="H134" s="35"/>
    </row>
    <row r="135" spans="1:16" hidden="1" x14ac:dyDescent="0.25">
      <c r="B135" s="2"/>
      <c r="D135" s="2"/>
      <c r="E135" s="2"/>
      <c r="F135" s="2"/>
      <c r="G135" s="2"/>
      <c r="H135" s="35"/>
    </row>
    <row r="136" spans="1:16" hidden="1" x14ac:dyDescent="0.25">
      <c r="B136" s="2"/>
      <c r="D136" s="2"/>
      <c r="E136" s="2"/>
      <c r="F136" s="2"/>
      <c r="G136" s="2"/>
      <c r="H136" s="35"/>
    </row>
    <row r="137" spans="1:16" hidden="1" x14ac:dyDescent="0.25">
      <c r="B137" s="2"/>
      <c r="D137" s="2"/>
      <c r="E137" s="2"/>
      <c r="F137" s="2"/>
      <c r="G137" s="2"/>
      <c r="H137" s="35"/>
      <c r="P137" s="170">
        <f>SUM(P106,P111,P116,P117,P118,P119:P125)</f>
        <v>2530</v>
      </c>
    </row>
    <row r="138" spans="1:16" x14ac:dyDescent="0.25">
      <c r="A138" s="166"/>
      <c r="B138" s="2"/>
      <c r="C138" s="2"/>
      <c r="D138" s="2"/>
      <c r="E138" s="2"/>
      <c r="F138" s="2"/>
      <c r="G138" s="2"/>
      <c r="H138" s="2"/>
    </row>
    <row r="139" spans="1:16" x14ac:dyDescent="0.25">
      <c r="B139" s="2"/>
      <c r="C139" s="2"/>
      <c r="D139" s="2"/>
      <c r="E139" s="2"/>
      <c r="F139" s="2"/>
      <c r="G139" s="2"/>
      <c r="H139" s="2"/>
    </row>
    <row r="140" spans="1:16" x14ac:dyDescent="0.25">
      <c r="B140" s="2"/>
      <c r="C140" s="2"/>
      <c r="D140" s="2"/>
      <c r="E140" s="2"/>
      <c r="F140" s="2"/>
      <c r="G140" s="2"/>
      <c r="H140" s="2"/>
    </row>
    <row r="141" spans="1:16" x14ac:dyDescent="0.25">
      <c r="B141" s="2"/>
      <c r="C141" s="2"/>
      <c r="D141" s="2"/>
      <c r="E141" s="2"/>
      <c r="F141" s="2"/>
      <c r="G141" s="2"/>
      <c r="H141" s="2"/>
    </row>
    <row r="142" spans="1:16" x14ac:dyDescent="0.25">
      <c r="B142" s="2"/>
      <c r="C142" s="2"/>
      <c r="D142" s="2"/>
      <c r="E142" s="2"/>
      <c r="F142" s="2"/>
      <c r="G142" s="2"/>
      <c r="H142" s="2"/>
    </row>
    <row r="143" spans="1:16" x14ac:dyDescent="0.25">
      <c r="B143" s="2"/>
      <c r="C143" s="2"/>
      <c r="D143" s="2"/>
      <c r="E143" s="2"/>
      <c r="F143" s="2"/>
      <c r="G143" s="2"/>
      <c r="H143" s="2"/>
    </row>
    <row r="144" spans="1:16" x14ac:dyDescent="0.25">
      <c r="B144" s="2"/>
      <c r="C144" s="2"/>
      <c r="D144" s="2"/>
      <c r="E144" s="2"/>
      <c r="F144" s="2"/>
      <c r="G144" s="2"/>
      <c r="H144" s="2"/>
    </row>
    <row r="145" spans="2:8" x14ac:dyDescent="0.25">
      <c r="B145" s="2"/>
      <c r="C145" s="2"/>
      <c r="D145" s="2"/>
      <c r="E145" s="2"/>
      <c r="F145" s="2"/>
      <c r="G145" s="2"/>
      <c r="H145" s="2"/>
    </row>
    <row r="146" spans="2:8" x14ac:dyDescent="0.25">
      <c r="B146" s="2"/>
      <c r="C146" s="2"/>
      <c r="D146" s="2"/>
      <c r="E146" s="2"/>
      <c r="F146" s="2"/>
      <c r="G146" s="2"/>
      <c r="H146" s="2"/>
    </row>
    <row r="147" spans="2:8" x14ac:dyDescent="0.25">
      <c r="B147" s="2"/>
      <c r="C147" s="2"/>
      <c r="D147" s="2"/>
      <c r="E147" s="2"/>
      <c r="F147" s="2"/>
      <c r="G147" s="2"/>
      <c r="H147" s="2"/>
    </row>
    <row r="148" spans="2:8" x14ac:dyDescent="0.25">
      <c r="B148" s="2"/>
      <c r="C148" s="2"/>
      <c r="D148" s="2"/>
      <c r="E148" s="2"/>
      <c r="F148" s="2"/>
      <c r="G148" s="2"/>
      <c r="H148" s="2"/>
    </row>
    <row r="149" spans="2:8" x14ac:dyDescent="0.25">
      <c r="B149" s="2"/>
      <c r="C149" s="2"/>
      <c r="D149" s="2"/>
      <c r="E149" s="2"/>
      <c r="F149" s="2"/>
      <c r="G149" s="2"/>
      <c r="H149" s="2"/>
    </row>
    <row r="150" spans="2:8" x14ac:dyDescent="0.25">
      <c r="B150" s="2"/>
      <c r="C150" s="2"/>
      <c r="D150" s="2"/>
      <c r="E150" s="2"/>
      <c r="F150" s="2"/>
      <c r="G150" s="2"/>
      <c r="H150" s="2"/>
    </row>
    <row r="151" spans="2:8" x14ac:dyDescent="0.25">
      <c r="B151" s="2"/>
      <c r="C151" s="2"/>
      <c r="D151" s="2"/>
      <c r="E151" s="2"/>
      <c r="F151" s="2"/>
      <c r="G151" s="2"/>
      <c r="H151" s="2"/>
    </row>
    <row r="152" spans="2:8" x14ac:dyDescent="0.25">
      <c r="B152" s="2"/>
      <c r="C152" s="2"/>
      <c r="D152" s="2"/>
      <c r="E152" s="2"/>
      <c r="F152" s="2"/>
      <c r="G152" s="2"/>
      <c r="H152" s="2"/>
    </row>
    <row r="153" spans="2:8" x14ac:dyDescent="0.25">
      <c r="B153" s="2"/>
      <c r="C153" s="2"/>
      <c r="D153" s="2"/>
      <c r="E153" s="2"/>
      <c r="F153" s="2"/>
      <c r="G153" s="2"/>
      <c r="H153" s="2"/>
    </row>
    <row r="154" spans="2:8" x14ac:dyDescent="0.25">
      <c r="B154" s="2"/>
      <c r="C154" s="2"/>
      <c r="D154" s="2"/>
      <c r="E154" s="2"/>
      <c r="F154" s="2"/>
      <c r="G154" s="2"/>
      <c r="H154" s="2"/>
    </row>
    <row r="155" spans="2:8" x14ac:dyDescent="0.25">
      <c r="B155" s="2"/>
      <c r="C155" s="2"/>
      <c r="D155" s="2"/>
      <c r="E155" s="2"/>
      <c r="F155" s="2"/>
      <c r="G155" s="2"/>
      <c r="H155" s="2"/>
    </row>
    <row r="156" spans="2:8" x14ac:dyDescent="0.25">
      <c r="B156" s="2"/>
      <c r="C156" s="2"/>
      <c r="D156" s="2"/>
      <c r="E156" s="2"/>
      <c r="F156" s="2"/>
      <c r="G156" s="2"/>
      <c r="H156" s="2"/>
    </row>
    <row r="157" spans="2:8" x14ac:dyDescent="0.25">
      <c r="B157" s="2"/>
      <c r="C157" s="2"/>
      <c r="D157" s="2"/>
      <c r="E157" s="2"/>
      <c r="F157" s="2"/>
      <c r="G157" s="2"/>
      <c r="H157" s="2"/>
    </row>
    <row r="158" spans="2:8" x14ac:dyDescent="0.25">
      <c r="B158" s="2"/>
      <c r="C158" s="2"/>
      <c r="D158" s="2"/>
      <c r="E158" s="2"/>
      <c r="F158" s="2"/>
      <c r="G158" s="2"/>
      <c r="H158" s="2"/>
    </row>
    <row r="159" spans="2:8" x14ac:dyDescent="0.25">
      <c r="B159" s="2"/>
      <c r="C159" s="2"/>
      <c r="D159" s="2"/>
      <c r="E159" s="2"/>
      <c r="F159" s="2"/>
      <c r="G159" s="2"/>
      <c r="H159" s="2"/>
    </row>
    <row r="160" spans="2:8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  <row r="168" spans="2:8" x14ac:dyDescent="0.25">
      <c r="B168" s="2"/>
      <c r="C168" s="2"/>
      <c r="D168" s="2"/>
      <c r="E168" s="2"/>
      <c r="F168" s="2"/>
      <c r="G168" s="2"/>
      <c r="H168" s="2"/>
    </row>
    <row r="169" spans="2:8" x14ac:dyDescent="0.25">
      <c r="B169" s="2"/>
      <c r="C169" s="2"/>
      <c r="D169" s="2"/>
      <c r="E169" s="2"/>
      <c r="F169" s="2"/>
      <c r="G169" s="2"/>
      <c r="H169" s="2"/>
    </row>
    <row r="170" spans="2:8" x14ac:dyDescent="0.25">
      <c r="B170" s="2"/>
      <c r="C170" s="2"/>
      <c r="D170" s="2"/>
      <c r="E170" s="2"/>
      <c r="F170" s="2"/>
      <c r="G170" s="2"/>
      <c r="H170" s="2"/>
    </row>
    <row r="171" spans="2:8" x14ac:dyDescent="0.25">
      <c r="B171" s="2"/>
      <c r="C171" s="2"/>
      <c r="D171" s="2"/>
      <c r="E171" s="2"/>
      <c r="F171" s="2"/>
      <c r="G171" s="2"/>
      <c r="H171" s="2"/>
    </row>
    <row r="172" spans="2:8" x14ac:dyDescent="0.25">
      <c r="B172" s="2"/>
      <c r="C172" s="2"/>
      <c r="D172" s="2"/>
      <c r="E172" s="2"/>
      <c r="F172" s="2"/>
      <c r="G172" s="2"/>
      <c r="H172" s="2"/>
    </row>
    <row r="173" spans="2:8" x14ac:dyDescent="0.25">
      <c r="B173" s="2"/>
      <c r="C173" s="2"/>
      <c r="D173" s="2"/>
      <c r="E173" s="2"/>
      <c r="F173" s="2"/>
      <c r="G173" s="2"/>
      <c r="H173" s="2"/>
    </row>
    <row r="174" spans="2:8" x14ac:dyDescent="0.25">
      <c r="B174" s="2"/>
      <c r="C174" s="2"/>
      <c r="D174" s="2"/>
      <c r="E174" s="2"/>
      <c r="F174" s="2"/>
      <c r="G174" s="2"/>
      <c r="H174" s="2"/>
    </row>
    <row r="175" spans="2:8" x14ac:dyDescent="0.25">
      <c r="B175" s="2"/>
      <c r="C175" s="2"/>
      <c r="D175" s="2"/>
      <c r="E175" s="2"/>
      <c r="F175" s="2"/>
      <c r="G175" s="2"/>
      <c r="H175" s="2"/>
    </row>
    <row r="176" spans="2:8" x14ac:dyDescent="0.25">
      <c r="B176" s="2"/>
      <c r="C176" s="2"/>
      <c r="D176" s="2"/>
      <c r="E176" s="2"/>
      <c r="F176" s="2"/>
      <c r="G176" s="2"/>
      <c r="H176" s="2"/>
    </row>
    <row r="177" spans="2:8" x14ac:dyDescent="0.25">
      <c r="B177" s="2"/>
      <c r="C177" s="2"/>
      <c r="D177" s="2"/>
      <c r="E177" s="2"/>
      <c r="F177" s="2"/>
      <c r="G177" s="2"/>
      <c r="H177" s="2"/>
    </row>
    <row r="178" spans="2:8" x14ac:dyDescent="0.25">
      <c r="B178" s="2"/>
      <c r="C178" s="2"/>
      <c r="D178" s="2"/>
      <c r="E178" s="2"/>
      <c r="F178" s="2"/>
      <c r="G178" s="2"/>
      <c r="H178" s="2"/>
    </row>
    <row r="179" spans="2:8" x14ac:dyDescent="0.25">
      <c r="B179" s="2"/>
      <c r="C179" s="2"/>
      <c r="D179" s="2"/>
      <c r="E179" s="2"/>
      <c r="F179" s="2"/>
      <c r="G179" s="2"/>
      <c r="H179" s="2"/>
    </row>
    <row r="180" spans="2:8" x14ac:dyDescent="0.25">
      <c r="B180" s="2"/>
      <c r="C180" s="2"/>
      <c r="D180" s="2"/>
      <c r="E180" s="2"/>
      <c r="F180" s="2"/>
      <c r="G180" s="2"/>
      <c r="H180" s="2"/>
    </row>
    <row r="181" spans="2:8" x14ac:dyDescent="0.25">
      <c r="B181" s="2"/>
      <c r="C181" s="2"/>
      <c r="D181" s="2"/>
      <c r="E181" s="2"/>
      <c r="F181" s="2"/>
      <c r="G181" s="2"/>
      <c r="H181" s="2"/>
    </row>
    <row r="182" spans="2:8" x14ac:dyDescent="0.25">
      <c r="B182" s="2"/>
      <c r="C182" s="2"/>
      <c r="D182" s="2"/>
      <c r="E182" s="2"/>
      <c r="F182" s="2"/>
      <c r="G182" s="2"/>
      <c r="H182" s="2"/>
    </row>
    <row r="183" spans="2:8" x14ac:dyDescent="0.25">
      <c r="B183" s="2"/>
      <c r="C183" s="2"/>
      <c r="D183" s="2"/>
      <c r="E183" s="2"/>
      <c r="F183" s="2"/>
      <c r="G183" s="2"/>
      <c r="H183" s="2"/>
    </row>
    <row r="184" spans="2:8" x14ac:dyDescent="0.25">
      <c r="B184" s="2"/>
      <c r="C184" s="2"/>
      <c r="D184" s="2"/>
      <c r="E184" s="2"/>
      <c r="F184" s="2"/>
      <c r="G184" s="2"/>
      <c r="H184" s="2"/>
    </row>
    <row r="185" spans="2:8" x14ac:dyDescent="0.25">
      <c r="B185" s="2"/>
      <c r="C185" s="2"/>
      <c r="D185" s="2"/>
      <c r="E185" s="2"/>
      <c r="F185" s="2"/>
      <c r="G185" s="2"/>
      <c r="H185" s="2"/>
    </row>
    <row r="186" spans="2:8" x14ac:dyDescent="0.25">
      <c r="B186" s="2"/>
      <c r="C186" s="2"/>
      <c r="D186" s="2"/>
      <c r="E186" s="2"/>
      <c r="F186" s="2"/>
      <c r="G186" s="2"/>
      <c r="H186" s="2"/>
    </row>
    <row r="187" spans="2:8" x14ac:dyDescent="0.25">
      <c r="B187" s="2"/>
      <c r="C187" s="2"/>
      <c r="D187" s="2"/>
      <c r="E187" s="2"/>
      <c r="F187" s="2"/>
      <c r="G187" s="2"/>
      <c r="H187" s="2"/>
    </row>
    <row r="188" spans="2:8" x14ac:dyDescent="0.25">
      <c r="B188" s="2"/>
      <c r="C188" s="2"/>
      <c r="D188" s="2"/>
      <c r="E188" s="2"/>
      <c r="F188" s="2"/>
      <c r="G188" s="2"/>
      <c r="H188" s="2"/>
    </row>
    <row r="189" spans="2:8" x14ac:dyDescent="0.25">
      <c r="B189" s="2"/>
      <c r="C189" s="2"/>
      <c r="D189" s="2"/>
      <c r="E189" s="2"/>
      <c r="F189" s="2"/>
      <c r="G189" s="2"/>
      <c r="H189" s="2"/>
    </row>
    <row r="190" spans="2:8" x14ac:dyDescent="0.25">
      <c r="B190" s="2"/>
      <c r="C190" s="2"/>
      <c r="D190" s="2"/>
      <c r="E190" s="2"/>
      <c r="F190" s="2"/>
      <c r="G190" s="2"/>
      <c r="H190" s="2"/>
    </row>
    <row r="191" spans="2:8" x14ac:dyDescent="0.25">
      <c r="B191" s="2"/>
      <c r="C191" s="2"/>
      <c r="D191" s="2"/>
      <c r="E191" s="2"/>
      <c r="F191" s="2"/>
      <c r="G191" s="2"/>
      <c r="H191" s="2"/>
    </row>
    <row r="192" spans="2:8" x14ac:dyDescent="0.25">
      <c r="B192" s="2"/>
      <c r="C192" s="2"/>
      <c r="D192" s="2"/>
      <c r="E192" s="2"/>
      <c r="F192" s="2"/>
      <c r="G192" s="2"/>
      <c r="H192" s="2"/>
    </row>
    <row r="193" spans="2:8" x14ac:dyDescent="0.25">
      <c r="B193" s="2"/>
      <c r="C193" s="2"/>
      <c r="D193" s="2"/>
      <c r="E193" s="2"/>
      <c r="F193" s="2"/>
      <c r="G193" s="2"/>
      <c r="H193" s="2"/>
    </row>
    <row r="194" spans="2:8" x14ac:dyDescent="0.25">
      <c r="B194" s="2"/>
      <c r="C194" s="2"/>
      <c r="D194" s="2"/>
      <c r="E194" s="2"/>
      <c r="F194" s="2"/>
      <c r="G194" s="2"/>
      <c r="H194" s="2"/>
    </row>
    <row r="195" spans="2:8" x14ac:dyDescent="0.25">
      <c r="B195" s="2"/>
      <c r="C195" s="2"/>
      <c r="D195" s="2"/>
      <c r="E195" s="2"/>
      <c r="F195" s="2"/>
      <c r="G195" s="2"/>
      <c r="H195" s="2"/>
    </row>
    <row r="196" spans="2:8" x14ac:dyDescent="0.25">
      <c r="B196" s="2"/>
      <c r="C196" s="2"/>
      <c r="D196" s="2"/>
      <c r="E196" s="2"/>
      <c r="F196" s="2"/>
      <c r="G196" s="2"/>
      <c r="H196" s="2"/>
    </row>
    <row r="197" spans="2:8" x14ac:dyDescent="0.25">
      <c r="B197" s="2"/>
      <c r="C197" s="2"/>
      <c r="D197" s="2"/>
      <c r="E197" s="2"/>
      <c r="F197" s="2"/>
      <c r="G197" s="2"/>
      <c r="H197" s="2"/>
    </row>
    <row r="198" spans="2:8" x14ac:dyDescent="0.25">
      <c r="B198" s="2"/>
      <c r="C198" s="2"/>
      <c r="D198" s="2"/>
      <c r="E198" s="2"/>
      <c r="F198" s="2"/>
      <c r="G198" s="2"/>
      <c r="H198" s="2"/>
    </row>
    <row r="199" spans="2:8" x14ac:dyDescent="0.25">
      <c r="B199" s="2"/>
      <c r="C199" s="2"/>
      <c r="D199" s="2"/>
      <c r="E199" s="2"/>
      <c r="F199" s="2"/>
      <c r="G199" s="2"/>
      <c r="H199" s="2"/>
    </row>
    <row r="200" spans="2:8" x14ac:dyDescent="0.25">
      <c r="B200" s="2"/>
      <c r="C200" s="2"/>
      <c r="D200" s="2"/>
      <c r="E200" s="2"/>
      <c r="F200" s="2"/>
      <c r="G200" s="2"/>
      <c r="H200" s="2"/>
    </row>
    <row r="201" spans="2:8" x14ac:dyDescent="0.25">
      <c r="B201" s="2"/>
      <c r="C201" s="2"/>
      <c r="D201" s="2"/>
      <c r="E201" s="2"/>
      <c r="F201" s="2"/>
      <c r="G201" s="2"/>
      <c r="H201" s="2"/>
    </row>
    <row r="202" spans="2:8" x14ac:dyDescent="0.25">
      <c r="B202" s="2"/>
      <c r="C202" s="2"/>
      <c r="D202" s="2"/>
      <c r="E202" s="2"/>
      <c r="F202" s="2"/>
      <c r="G202" s="2"/>
      <c r="H202" s="2"/>
    </row>
    <row r="203" spans="2:8" x14ac:dyDescent="0.25">
      <c r="B203" s="2"/>
      <c r="C203" s="2"/>
      <c r="D203" s="2"/>
      <c r="E203" s="2"/>
      <c r="F203" s="2"/>
      <c r="G203" s="2"/>
      <c r="H203" s="2"/>
    </row>
    <row r="204" spans="2:8" x14ac:dyDescent="0.25">
      <c r="B204" s="2"/>
      <c r="C204" s="2"/>
      <c r="D204" s="2"/>
      <c r="E204" s="2"/>
      <c r="F204" s="2"/>
      <c r="G204" s="2"/>
      <c r="H204" s="2"/>
    </row>
    <row r="205" spans="2:8" x14ac:dyDescent="0.25">
      <c r="B205" s="2"/>
      <c r="C205" s="2"/>
      <c r="D205" s="2"/>
      <c r="E205" s="2"/>
      <c r="F205" s="2"/>
      <c r="G205" s="2"/>
      <c r="H205" s="2"/>
    </row>
    <row r="206" spans="2:8" x14ac:dyDescent="0.25">
      <c r="B206" s="2"/>
      <c r="C206" s="2"/>
      <c r="D206" s="2"/>
      <c r="E206" s="2"/>
      <c r="F206" s="2"/>
      <c r="G206" s="2"/>
      <c r="H206" s="2"/>
    </row>
    <row r="207" spans="2:8" x14ac:dyDescent="0.25">
      <c r="B207" s="2"/>
      <c r="C207" s="2"/>
      <c r="D207" s="2"/>
      <c r="E207" s="2"/>
      <c r="F207" s="2"/>
      <c r="G207" s="2"/>
      <c r="H207" s="2"/>
    </row>
    <row r="208" spans="2:8" x14ac:dyDescent="0.25">
      <c r="B208" s="2"/>
      <c r="C208" s="2"/>
      <c r="D208" s="2"/>
      <c r="E208" s="2"/>
      <c r="F208" s="2"/>
      <c r="G208" s="2"/>
      <c r="H208" s="2"/>
    </row>
    <row r="209" spans="5:7" x14ac:dyDescent="0.25">
      <c r="E209" s="2"/>
      <c r="F209" s="2"/>
      <c r="G209" s="2"/>
    </row>
    <row r="210" spans="5:7" x14ac:dyDescent="0.25">
      <c r="E210" s="2"/>
      <c r="F210" s="2"/>
      <c r="G210" s="2"/>
    </row>
  </sheetData>
  <mergeCells count="21">
    <mergeCell ref="N3:N4"/>
    <mergeCell ref="A2:A4"/>
    <mergeCell ref="B2:C2"/>
    <mergeCell ref="D2:G2"/>
    <mergeCell ref="H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scale="93" orientation="landscape" r:id="rId1"/>
  <headerFooter alignWithMargins="0">
    <oddFooter>&amp;C&amp;P</oddFooter>
  </headerFooter>
  <rowBreaks count="3" manualBreakCount="3">
    <brk id="30" max="16383" man="1"/>
    <brk id="54" max="18" man="1"/>
    <brk id="84" max="16383" man="1"/>
  </rowBreaks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'S&amp;D  March 17 '!H6:S6</xm:f>
              <xm:sqref>G6</xm:sqref>
            </x14:sparkline>
            <x14:sparkline>
              <xm:f>'S&amp;D  March 17 '!H7:S7</xm:f>
              <xm:sqref>G7</xm:sqref>
            </x14:sparkline>
            <x14:sparkline>
              <xm:f>'S&amp;D  March 17 '!H8:S8</xm:f>
              <xm:sqref>G8</xm:sqref>
            </x14:sparkline>
            <x14:sparkline>
              <xm:f>'S&amp;D  March 17 '!H9:S9</xm:f>
              <xm:sqref>G9</xm:sqref>
            </x14:sparkline>
            <x14:sparkline>
              <xm:f>'S&amp;D  March 17 '!H10:S10</xm:f>
              <xm:sqref>G10</xm:sqref>
            </x14:sparkline>
            <x14:sparkline>
              <xm:f>'S&amp;D  March 17 '!H11:S11</xm:f>
              <xm:sqref>G11</xm:sqref>
            </x14:sparkline>
            <x14:sparkline>
              <xm:f>'S&amp;D  March 17 '!H12:S12</xm:f>
              <xm:sqref>G12</xm:sqref>
            </x14:sparkline>
            <x14:sparkline>
              <xm:f>'S&amp;D  March 17 '!H13:S13</xm:f>
              <xm:sqref>G13</xm:sqref>
            </x14:sparkline>
            <x14:sparkline>
              <xm:f>'S&amp;D  March 17 '!H14:S14</xm:f>
              <xm:sqref>G14</xm:sqref>
            </x14:sparkline>
            <x14:sparkline>
              <xm:f>'S&amp;D  March 17 '!H15:S15</xm:f>
              <xm:sqref>G15</xm:sqref>
            </x14:sparkline>
            <x14:sparkline>
              <xm:f>'S&amp;D  March 17 '!H16:S16</xm:f>
              <xm:sqref>G16</xm:sqref>
            </x14:sparkline>
            <x14:sparkline>
              <xm:f>'S&amp;D  March 17 '!H17:S17</xm:f>
              <xm:sqref>G17</xm:sqref>
            </x14:sparkline>
            <x14:sparkline>
              <xm:f>'S&amp;D  March 17 '!H18:S18</xm:f>
              <xm:sqref>G18</xm:sqref>
            </x14:sparkline>
            <x14:sparkline>
              <xm:f>'S&amp;D  March 17 '!H19:S19</xm:f>
              <xm:sqref>G19</xm:sqref>
            </x14:sparkline>
            <x14:sparkline>
              <xm:f>'S&amp;D  March 17 '!H20:S20</xm:f>
              <xm:sqref>G20</xm:sqref>
            </x14:sparkline>
            <x14:sparkline>
              <xm:f>'S&amp;D  March 17 '!H21:S21</xm:f>
              <xm:sqref>G21</xm:sqref>
            </x14:sparkline>
            <x14:sparkline>
              <xm:f>'S&amp;D  March 17 '!H22:S22</xm:f>
              <xm:sqref>G22</xm:sqref>
            </x14:sparkline>
            <x14:sparkline>
              <xm:f>'S&amp;D  March 17 '!H23:S23</xm:f>
              <xm:sqref>G23</xm:sqref>
            </x14:sparkline>
            <x14:sparkline>
              <xm:f>'S&amp;D  March 17 '!H24:S24</xm:f>
              <xm:sqref>G24</xm:sqref>
            </x14:sparkline>
            <x14:sparkline>
              <xm:f>'S&amp;D  March 17 '!H25:S25</xm:f>
              <xm:sqref>G25</xm:sqref>
            </x14:sparkline>
            <x14:sparkline>
              <xm:f>'S&amp;D  March 17 '!H26:S26</xm:f>
              <xm:sqref>G26</xm:sqref>
            </x14:sparkline>
            <x14:sparkline>
              <xm:f>'S&amp;D  March 17 '!H27:S27</xm:f>
              <xm:sqref>G27</xm:sqref>
            </x14:sparkline>
            <x14:sparkline>
              <xm:f>'S&amp;D  March 17 '!H28:S28</xm:f>
              <xm:sqref>G28</xm:sqref>
            </x14:sparkline>
            <x14:sparkline>
              <xm:f>'S&amp;D  March 17 '!H29:S29</xm:f>
              <xm:sqref>G29</xm:sqref>
            </x14:sparkline>
            <x14:sparkline>
              <xm:f>'S&amp;D  March 17 '!H30:S30</xm:f>
              <xm:sqref>G30</xm:sqref>
            </x14:sparkline>
            <x14:sparkline>
              <xm:f>'S&amp;D  March 17 '!H31:S31</xm:f>
              <xm:sqref>G31</xm:sqref>
            </x14:sparkline>
            <x14:sparkline>
              <xm:f>'S&amp;D  March 17 '!H32:S32</xm:f>
              <xm:sqref>G32</xm:sqref>
            </x14:sparkline>
            <x14:sparkline>
              <xm:f>'S&amp;D  March 17 '!H33:S33</xm:f>
              <xm:sqref>G33</xm:sqref>
            </x14:sparkline>
            <x14:sparkline>
              <xm:f>'S&amp;D  March 17 '!H34:S34</xm:f>
              <xm:sqref>G34</xm:sqref>
            </x14:sparkline>
            <x14:sparkline>
              <xm:f>'S&amp;D  March 17 '!H35:S35</xm:f>
              <xm:sqref>G35</xm:sqref>
            </x14:sparkline>
            <x14:sparkline>
              <xm:f>'S&amp;D  March 17 '!H36:S36</xm:f>
              <xm:sqref>G36</xm:sqref>
            </x14:sparkline>
            <x14:sparkline>
              <xm:f>'S&amp;D  March 17 '!H37:S37</xm:f>
              <xm:sqref>G37</xm:sqref>
            </x14:sparkline>
            <x14:sparkline>
              <xm:f>'S&amp;D  March 17 '!H38:S38</xm:f>
              <xm:sqref>G38</xm:sqref>
            </x14:sparkline>
            <x14:sparkline>
              <xm:f>'S&amp;D  March 17 '!H39:S39</xm:f>
              <xm:sqref>G39</xm:sqref>
            </x14:sparkline>
            <x14:sparkline>
              <xm:f>'S&amp;D  March 17 '!H40:S40</xm:f>
              <xm:sqref>G40</xm:sqref>
            </x14:sparkline>
            <x14:sparkline>
              <xm:f>'S&amp;D  March 17 '!H41:S41</xm:f>
              <xm:sqref>G41</xm:sqref>
            </x14:sparkline>
            <x14:sparkline>
              <xm:f>'S&amp;D  March 17 '!H42:S42</xm:f>
              <xm:sqref>G42</xm:sqref>
            </x14:sparkline>
            <x14:sparkline>
              <xm:f>'S&amp;D  March 17 '!H43:S43</xm:f>
              <xm:sqref>G43</xm:sqref>
            </x14:sparkline>
            <x14:sparkline>
              <xm:f>'S&amp;D  March 17 '!H44:S44</xm:f>
              <xm:sqref>G44</xm:sqref>
            </x14:sparkline>
            <x14:sparkline>
              <xm:f>'S&amp;D  March 17 '!H45:S45</xm:f>
              <xm:sqref>G45</xm:sqref>
            </x14:sparkline>
            <x14:sparkline>
              <xm:f>'S&amp;D  March 17 '!H46:S46</xm:f>
              <xm:sqref>G46</xm:sqref>
            </x14:sparkline>
            <x14:sparkline>
              <xm:f>'S&amp;D  March 17 '!H47:S47</xm:f>
              <xm:sqref>G47</xm:sqref>
            </x14:sparkline>
            <x14:sparkline>
              <xm:f>'S&amp;D  March 17 '!H48:S48</xm:f>
              <xm:sqref>G48</xm:sqref>
            </x14:sparkline>
            <x14:sparkline>
              <xm:f>'S&amp;D  March 17 '!H49:S49</xm:f>
              <xm:sqref>G49</xm:sqref>
            </x14:sparkline>
            <x14:sparkline>
              <xm:f>'S&amp;D  March 17 '!H50:S50</xm:f>
              <xm:sqref>G50</xm:sqref>
            </x14:sparkline>
            <x14:sparkline>
              <xm:f>'S&amp;D  March 17 '!H51:S51</xm:f>
              <xm:sqref>G51</xm:sqref>
            </x14:sparkline>
            <x14:sparkline>
              <xm:f>'S&amp;D  March 17 '!H52:S52</xm:f>
              <xm:sqref>G52</xm:sqref>
            </x14:sparkline>
            <x14:sparkline>
              <xm:f>'S&amp;D  March 17 '!H53:S53</xm:f>
              <xm:sqref>G53</xm:sqref>
            </x14:sparkline>
            <x14:sparkline>
              <xm:f>'S&amp;D  March 17 '!H54:S54</xm:f>
              <xm:sqref>G54</xm:sqref>
            </x14:sparkline>
            <x14:sparkline>
              <xm:f>'S&amp;D  March 17 '!H55:S55</xm:f>
              <xm:sqref>G55</xm:sqref>
            </x14:sparkline>
            <x14:sparkline>
              <xm:f>'S&amp;D  March 17 '!H56:S56</xm:f>
              <xm:sqref>G56</xm:sqref>
            </x14:sparkline>
            <x14:sparkline>
              <xm:f>'S&amp;D  March 17 '!H57:S57</xm:f>
              <xm:sqref>G57</xm:sqref>
            </x14:sparkline>
            <x14:sparkline>
              <xm:f>'S&amp;D  March 17 '!H58:S58</xm:f>
              <xm:sqref>G58</xm:sqref>
            </x14:sparkline>
            <x14:sparkline>
              <xm:f>'S&amp;D  March 17 '!H59:S59</xm:f>
              <xm:sqref>G59</xm:sqref>
            </x14:sparkline>
            <x14:sparkline>
              <xm:f>'S&amp;D  March 17 '!H60:S60</xm:f>
              <xm:sqref>G60</xm:sqref>
            </x14:sparkline>
            <x14:sparkline>
              <xm:f>'S&amp;D  March 17 '!H61:S61</xm:f>
              <xm:sqref>G61</xm:sqref>
            </x14:sparkline>
            <x14:sparkline>
              <xm:f>'S&amp;D  March 17 '!H62:S62</xm:f>
              <xm:sqref>G62</xm:sqref>
            </x14:sparkline>
            <x14:sparkline>
              <xm:f>'S&amp;D  March 17 '!H63:S63</xm:f>
              <xm:sqref>G63</xm:sqref>
            </x14:sparkline>
            <x14:sparkline>
              <xm:f>'S&amp;D  March 17 '!H64:S64</xm:f>
              <xm:sqref>G64</xm:sqref>
            </x14:sparkline>
            <x14:sparkline>
              <xm:f>'S&amp;D  March 17 '!H65:S65</xm:f>
              <xm:sqref>G65</xm:sqref>
            </x14:sparkline>
            <x14:sparkline>
              <xm:f>'S&amp;D  March 17 '!H66:S66</xm:f>
              <xm:sqref>G66</xm:sqref>
            </x14:sparkline>
            <x14:sparkline>
              <xm:f>'S&amp;D  March 17 '!H67:S67</xm:f>
              <xm:sqref>G67</xm:sqref>
            </x14:sparkline>
            <x14:sparkline>
              <xm:f>'S&amp;D  March 17 '!H68:S68</xm:f>
              <xm:sqref>G68</xm:sqref>
            </x14:sparkline>
            <x14:sparkline>
              <xm:f>'S&amp;D  March 17 '!H69:S69</xm:f>
              <xm:sqref>G69</xm:sqref>
            </x14:sparkline>
            <x14:sparkline>
              <xm:f>'S&amp;D  March 17 '!H70:S70</xm:f>
              <xm:sqref>G70</xm:sqref>
            </x14:sparkline>
            <x14:sparkline>
              <xm:f>'S&amp;D  March 17 '!H71:S71</xm:f>
              <xm:sqref>G71</xm:sqref>
            </x14:sparkline>
            <x14:sparkline>
              <xm:f>'S&amp;D  March 17 '!H72:S72</xm:f>
              <xm:sqref>G72</xm:sqref>
            </x14:sparkline>
            <x14:sparkline>
              <xm:f>'S&amp;D  March 17 '!H73:S73</xm:f>
              <xm:sqref>G73</xm:sqref>
            </x14:sparkline>
            <x14:sparkline>
              <xm:f>'S&amp;D  March 17 '!H74:S74</xm:f>
              <xm:sqref>G74</xm:sqref>
            </x14:sparkline>
            <x14:sparkline>
              <xm:f>'S&amp;D  March 17 '!H75:S75</xm:f>
              <xm:sqref>G75</xm:sqref>
            </x14:sparkline>
            <x14:sparkline>
              <xm:f>'S&amp;D  March 17 '!H76:S76</xm:f>
              <xm:sqref>G76</xm:sqref>
            </x14:sparkline>
            <x14:sparkline>
              <xm:f>'S&amp;D  March 17 '!H77:S77</xm:f>
              <xm:sqref>G77</xm:sqref>
            </x14:sparkline>
            <x14:sparkline>
              <xm:f>'S&amp;D  March 17 '!H78:S78</xm:f>
              <xm:sqref>G78</xm:sqref>
            </x14:sparkline>
            <x14:sparkline>
              <xm:f>'S&amp;D  March 17 '!H79:S79</xm:f>
              <xm:sqref>G79</xm:sqref>
            </x14:sparkline>
            <x14:sparkline>
              <xm:f>'S&amp;D  March 17 '!H80:S80</xm:f>
              <xm:sqref>G80</xm:sqref>
            </x14:sparkline>
            <x14:sparkline>
              <xm:f>'S&amp;D  March 17 '!H81:S81</xm:f>
              <xm:sqref>G81</xm:sqref>
            </x14:sparkline>
            <x14:sparkline>
              <xm:f>'S&amp;D  March 17 '!H82:S82</xm:f>
              <xm:sqref>G82</xm:sqref>
            </x14:sparkline>
            <x14:sparkline>
              <xm:f>'S&amp;D  March 17 '!H83:S83</xm:f>
              <xm:sqref>G83</xm:sqref>
            </x14:sparkline>
            <x14:sparkline>
              <xm:f>'S&amp;D  March 17 '!H84:S84</xm:f>
              <xm:sqref>G84</xm:sqref>
            </x14:sparkline>
            <x14:sparkline>
              <xm:f>'S&amp;D  March 17 '!H85:S85</xm:f>
              <xm:sqref>G85</xm:sqref>
            </x14:sparkline>
            <x14:sparkline>
              <xm:f>'S&amp;D  March 17 '!H86:S86</xm:f>
              <xm:sqref>G86</xm:sqref>
            </x14:sparkline>
            <x14:sparkline>
              <xm:f>'S&amp;D  March 17 '!H87:S87</xm:f>
              <xm:sqref>G87</xm:sqref>
            </x14:sparkline>
            <x14:sparkline>
              <xm:f>'S&amp;D  March 17 '!H88:S88</xm:f>
              <xm:sqref>G88</xm:sqref>
            </x14:sparkline>
            <x14:sparkline>
              <xm:f>'S&amp;D  March 17 '!H89:S89</xm:f>
              <xm:sqref>G89</xm:sqref>
            </x14:sparkline>
            <x14:sparkline>
              <xm:f>'S&amp;D  March 17 '!H90:S90</xm:f>
              <xm:sqref>G90</xm:sqref>
            </x14:sparkline>
            <x14:sparkline>
              <xm:f>'S&amp;D  March 17 '!H91:S91</xm:f>
              <xm:sqref>G91</xm:sqref>
            </x14:sparkline>
            <x14:sparkline>
              <xm:f>'S&amp;D  March 17 '!H92:S92</xm:f>
              <xm:sqref>G92</xm:sqref>
            </x14:sparkline>
            <x14:sparkline>
              <xm:f>'S&amp;D  March 17 '!H93:S93</xm:f>
              <xm:sqref>G93</xm:sqref>
            </x14:sparkline>
            <x14:sparkline>
              <xm:f>'S&amp;D  March 17 '!H94:S94</xm:f>
              <xm:sqref>G94</xm:sqref>
            </x14:sparkline>
            <x14:sparkline>
              <xm:f>'S&amp;D  March 17 '!H95:S95</xm:f>
              <xm:sqref>G95</xm:sqref>
            </x14:sparkline>
            <x14:sparkline>
              <xm:f>'S&amp;D  March 17 '!H96:S96</xm:f>
              <xm:sqref>G96</xm:sqref>
            </x14:sparkline>
            <x14:sparkline>
              <xm:f>'S&amp;D  March 17 '!H97:S97</xm:f>
              <xm:sqref>G97</xm:sqref>
            </x14:sparkline>
            <x14:sparkline>
              <xm:f>'S&amp;D  March 17 '!H98:S98</xm:f>
              <xm:sqref>G98</xm:sqref>
            </x14:sparkline>
            <x14:sparkline>
              <xm:f>'S&amp;D  March 17 '!H99:S99</xm:f>
              <xm:sqref>G99</xm:sqref>
            </x14:sparkline>
            <x14:sparkline>
              <xm:f>'S&amp;D  March 17 '!H100:S100</xm:f>
              <xm:sqref>G100</xm:sqref>
            </x14:sparkline>
            <x14:sparkline>
              <xm:f>'S&amp;D  March 17 '!H101:S101</xm:f>
              <xm:sqref>G101</xm:sqref>
            </x14:sparkline>
            <x14:sparkline>
              <xm:f>'S&amp;D  March 17 '!H102:S102</xm:f>
              <xm:sqref>G102</xm:sqref>
            </x14:sparkline>
            <x14:sparkline>
              <xm:f>'S&amp;D  March 17 '!H103:S103</xm:f>
              <xm:sqref>G103</xm:sqref>
            </x14:sparkline>
            <x14:sparkline>
              <xm:f>'S&amp;D  March 17 '!H104:S104</xm:f>
              <xm:sqref>G104</xm:sqref>
            </x14:sparkline>
            <x14:sparkline>
              <xm:f>'S&amp;D  March 17 '!H105:S105</xm:f>
              <xm:sqref>G105</xm:sqref>
            </x14:sparkline>
            <x14:sparkline>
              <xm:f>'S&amp;D  March 17 '!H106:S106</xm:f>
              <xm:sqref>G106</xm:sqref>
            </x14:sparkline>
            <x14:sparkline>
              <xm:f>'S&amp;D  March 17 '!H107:S107</xm:f>
              <xm:sqref>G107</xm:sqref>
            </x14:sparkline>
            <x14:sparkline>
              <xm:f>'S&amp;D  March 17 '!H108:S108</xm:f>
              <xm:sqref>G108</xm:sqref>
            </x14:sparkline>
            <x14:sparkline>
              <xm:f>'S&amp;D  March 17 '!H109:S109</xm:f>
              <xm:sqref>G109</xm:sqref>
            </x14:sparkline>
            <x14:sparkline>
              <xm:f>'S&amp;D  March 17 '!H110:S110</xm:f>
              <xm:sqref>G110</xm:sqref>
            </x14:sparkline>
            <x14:sparkline>
              <xm:f>'S&amp;D  March 17 '!H111:S111</xm:f>
              <xm:sqref>G111</xm:sqref>
            </x14:sparkline>
            <x14:sparkline>
              <xm:f>'S&amp;D  March 17 '!H112:S112</xm:f>
              <xm:sqref>G112</xm:sqref>
            </x14:sparkline>
            <x14:sparkline>
              <xm:f>'S&amp;D  March 17 '!H113:S113</xm:f>
              <xm:sqref>G113</xm:sqref>
            </x14:sparkline>
            <x14:sparkline>
              <xm:f>'S&amp;D  March 17 '!H114:S114</xm:f>
              <xm:sqref>G114</xm:sqref>
            </x14:sparkline>
            <x14:sparkline>
              <xm:f>'S&amp;D  March 17 '!H115:S115</xm:f>
              <xm:sqref>G115</xm:sqref>
            </x14:sparkline>
            <x14:sparkline>
              <xm:f>'S&amp;D  March 17 '!H116:S116</xm:f>
              <xm:sqref>G116</xm:sqref>
            </x14:sparkline>
            <x14:sparkline>
              <xm:f>'S&amp;D  March 17 '!H117:S117</xm:f>
              <xm:sqref>G117</xm:sqref>
            </x14:sparkline>
            <x14:sparkline>
              <xm:f>'S&amp;D  March 17 '!H118:S118</xm:f>
              <xm:sqref>G118</xm:sqref>
            </x14:sparkline>
            <x14:sparkline>
              <xm:f>'S&amp;D  March 17 '!H119:S119</xm:f>
              <xm:sqref>G119</xm:sqref>
            </x14:sparkline>
            <x14:sparkline>
              <xm:f>'S&amp;D  March 17 '!H120:S120</xm:f>
              <xm:sqref>G120</xm:sqref>
            </x14:sparkline>
            <x14:sparkline>
              <xm:f>'S&amp;D  March 17 '!H121:S121</xm:f>
              <xm:sqref>G121</xm:sqref>
            </x14:sparkline>
            <x14:sparkline>
              <xm:f>'S&amp;D  March 17 '!H122:S122</xm:f>
              <xm:sqref>G122</xm:sqref>
            </x14:sparkline>
            <x14:sparkline>
              <xm:f>'S&amp;D  March 17 '!H123:S123</xm:f>
              <xm:sqref>G123</xm:sqref>
            </x14:sparkline>
            <x14:sparkline>
              <xm:f>'S&amp;D  March 17 '!H124:S124</xm:f>
              <xm:sqref>G124</xm:sqref>
            </x14:sparkline>
            <x14:sparkline>
              <xm:f>'S&amp;D  March 17 '!H125:S125</xm:f>
              <xm:sqref>G125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O211"/>
  <sheetViews>
    <sheetView showGridLines="0" tabSelected="1" zoomScale="93" zoomScaleNormal="93" zoomScaleSheetLayoutView="96" workbookViewId="0">
      <pane ySplit="6" topLeftCell="A7" activePane="bottomLeft" state="frozen"/>
      <selection pane="bottomLeft" activeCell="BR7" sqref="BR7"/>
    </sheetView>
  </sheetViews>
  <sheetFormatPr defaultColWidth="8.88671875" defaultRowHeight="13.2" x14ac:dyDescent="0.25"/>
  <cols>
    <col min="1" max="1" width="35" style="2" customWidth="1"/>
    <col min="2" max="2" width="14.33203125" style="35" hidden="1" customWidth="1"/>
    <col min="3" max="3" width="8.5546875" style="35" customWidth="1"/>
    <col min="4" max="4" width="9.33203125" style="171" hidden="1" customWidth="1"/>
    <col min="5" max="5" width="11.88671875" style="110" customWidth="1"/>
    <col min="6" max="6" width="7" style="110" customWidth="1"/>
    <col min="7" max="7" width="10" style="110" customWidth="1"/>
    <col min="8" max="8" width="8.88671875" style="110" customWidth="1"/>
    <col min="9" max="9" width="4.6640625" style="17" customWidth="1"/>
    <col min="10" max="10" width="14.6640625" hidden="1" customWidth="1"/>
    <col min="11" max="11" width="7.5546875" hidden="1" customWidth="1"/>
    <col min="12" max="12" width="7.33203125" style="85" hidden="1" customWidth="1"/>
    <col min="13" max="18" width="7.33203125" style="2" hidden="1" customWidth="1"/>
    <col min="19" max="19" width="7.5546875" style="2" hidden="1" customWidth="1"/>
    <col min="20" max="20" width="7.109375" style="2" hidden="1" customWidth="1"/>
    <col min="21" max="21" width="7.88671875" style="2" hidden="1" customWidth="1"/>
    <col min="22" max="22" width="9.6640625" style="2" hidden="1" customWidth="1"/>
    <col min="23" max="23" width="7.5546875" style="2" hidden="1" customWidth="1"/>
    <col min="24" max="24" width="5" style="2" hidden="1" customWidth="1"/>
    <col min="25" max="25" width="11.44140625" style="2" hidden="1" customWidth="1"/>
    <col min="26" max="26" width="2.109375" style="239" hidden="1" customWidth="1"/>
    <col min="27" max="27" width="11.5546875" style="2" hidden="1" customWidth="1"/>
    <col min="28" max="28" width="7.33203125" style="199" hidden="1" customWidth="1"/>
    <col min="29" max="29" width="8.109375" style="2" hidden="1" customWidth="1"/>
    <col min="30" max="30" width="8" style="2" hidden="1" customWidth="1"/>
    <col min="31" max="31" width="8.88671875" style="2" hidden="1" customWidth="1"/>
    <col min="32" max="32" width="8.6640625" style="2" hidden="1" customWidth="1"/>
    <col min="33" max="33" width="8.109375" style="2" hidden="1" customWidth="1"/>
    <col min="34" max="34" width="7.44140625" style="2" hidden="1" customWidth="1"/>
    <col min="35" max="35" width="8.88671875" style="2" hidden="1" customWidth="1"/>
    <col min="36" max="36" width="7.5546875" style="2" hidden="1" customWidth="1"/>
    <col min="37" max="37" width="7.44140625" style="2" hidden="1" customWidth="1"/>
    <col min="38" max="38" width="6.88671875" style="2" hidden="1" customWidth="1"/>
    <col min="39" max="39" width="4.109375" style="2" hidden="1" customWidth="1"/>
    <col min="40" max="40" width="10.5546875" style="2" hidden="1" customWidth="1"/>
    <col min="41" max="41" width="10.33203125" style="2" hidden="1" customWidth="1"/>
    <col min="42" max="42" width="9.33203125" style="2" hidden="1" customWidth="1"/>
    <col min="43" max="43" width="9.44140625" style="2" hidden="1" customWidth="1"/>
    <col min="44" max="48" width="6.5546875" style="2" hidden="1" customWidth="1"/>
    <col min="49" max="49" width="7.88671875" style="2" hidden="1" customWidth="1"/>
    <col min="50" max="52" width="6.5546875" style="2" hidden="1" customWidth="1"/>
    <col min="53" max="53" width="9.109375" style="2" hidden="1" customWidth="1"/>
    <col min="54" max="54" width="2.6640625" style="239" hidden="1" customWidth="1"/>
    <col min="55" max="55" width="9" style="2" hidden="1" customWidth="1"/>
    <col min="56" max="56" width="6.88671875" style="2" hidden="1" customWidth="1"/>
    <col min="57" max="57" width="9" style="2" hidden="1" customWidth="1"/>
    <col min="58" max="62" width="6.5546875" style="2" hidden="1" customWidth="1"/>
    <col min="63" max="63" width="8.5546875" style="2" hidden="1" customWidth="1"/>
    <col min="64" max="66" width="6.5546875" style="2" hidden="1" customWidth="1"/>
    <col min="67" max="67" width="9.33203125" style="2" hidden="1" customWidth="1"/>
    <col min="68" max="16384" width="8.88671875" style="2"/>
  </cols>
  <sheetData>
    <row r="1" spans="1:67" ht="16.2" thickBot="1" x14ac:dyDescent="0.35">
      <c r="A1" s="301" t="s">
        <v>167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6"/>
      <c r="X1" s="17"/>
      <c r="Y1" s="17"/>
    </row>
    <row r="2" spans="1:67" ht="16.2" thickBot="1" x14ac:dyDescent="0.35">
      <c r="A2" s="301"/>
      <c r="B2" s="195"/>
      <c r="C2" s="195"/>
      <c r="D2" s="195"/>
      <c r="E2" s="17"/>
      <c r="F2" s="17"/>
      <c r="G2" s="17"/>
      <c r="H2" s="17"/>
      <c r="J2" s="17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6"/>
      <c r="X2" s="17"/>
      <c r="Y2" s="17"/>
    </row>
    <row r="3" spans="1:67" ht="25.5" customHeight="1" thickTop="1" thickBot="1" x14ac:dyDescent="0.3">
      <c r="A3" s="414" t="s">
        <v>0</v>
      </c>
      <c r="B3" s="434" t="s">
        <v>3</v>
      </c>
      <c r="C3" s="435"/>
      <c r="D3" s="436"/>
      <c r="E3" s="437" t="s">
        <v>102</v>
      </c>
      <c r="F3" s="438"/>
      <c r="G3" s="438"/>
      <c r="H3" s="438"/>
      <c r="I3" s="438"/>
      <c r="J3" s="439"/>
      <c r="K3" s="300"/>
      <c r="L3" s="440" t="s">
        <v>103</v>
      </c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1"/>
      <c r="X3" s="207"/>
      <c r="Y3" s="207"/>
      <c r="Z3" s="267"/>
      <c r="AA3" s="442" t="s">
        <v>113</v>
      </c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3"/>
      <c r="AM3" s="207"/>
      <c r="AN3" s="453" t="s">
        <v>132</v>
      </c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7"/>
      <c r="BB3" s="267"/>
      <c r="BC3" s="207"/>
      <c r="BD3" s="446" t="s">
        <v>112</v>
      </c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7"/>
    </row>
    <row r="4" spans="1:67" ht="29.25" customHeight="1" thickTop="1" x14ac:dyDescent="0.3">
      <c r="A4" s="415"/>
      <c r="B4" s="400" t="s">
        <v>4</v>
      </c>
      <c r="C4" s="448" t="s">
        <v>105</v>
      </c>
      <c r="D4" s="424" t="s">
        <v>6</v>
      </c>
      <c r="E4" s="451" t="s">
        <v>6</v>
      </c>
      <c r="F4" s="429" t="s">
        <v>109</v>
      </c>
      <c r="G4" s="429" t="s">
        <v>7</v>
      </c>
      <c r="H4" s="429" t="s">
        <v>104</v>
      </c>
      <c r="I4" s="429" t="s">
        <v>108</v>
      </c>
      <c r="J4" s="452" t="s">
        <v>9</v>
      </c>
      <c r="K4" s="410">
        <v>42795</v>
      </c>
      <c r="L4" s="410">
        <v>42826</v>
      </c>
      <c r="M4" s="410">
        <v>42856</v>
      </c>
      <c r="N4" s="410">
        <v>42887</v>
      </c>
      <c r="O4" s="410">
        <v>42917</v>
      </c>
      <c r="P4" s="410">
        <v>42948</v>
      </c>
      <c r="Q4" s="410">
        <v>42979</v>
      </c>
      <c r="R4" s="410">
        <v>43009</v>
      </c>
      <c r="S4" s="410">
        <v>43040</v>
      </c>
      <c r="T4" s="410">
        <v>43070</v>
      </c>
      <c r="U4" s="444">
        <v>43101</v>
      </c>
      <c r="V4" s="410">
        <v>43132</v>
      </c>
      <c r="W4" s="412">
        <v>43160</v>
      </c>
      <c r="X4" s="208"/>
      <c r="Y4" s="283" t="s">
        <v>114</v>
      </c>
      <c r="Z4" s="274"/>
      <c r="AA4" s="454">
        <v>42826</v>
      </c>
      <c r="AB4" s="412">
        <v>42856</v>
      </c>
      <c r="AC4" s="412">
        <v>42887</v>
      </c>
      <c r="AD4" s="412">
        <v>42917</v>
      </c>
      <c r="AE4" s="412">
        <v>42948</v>
      </c>
      <c r="AF4" s="410">
        <v>42979</v>
      </c>
      <c r="AG4" s="410">
        <v>43009</v>
      </c>
      <c r="AH4" s="410">
        <v>43040</v>
      </c>
      <c r="AI4" s="412">
        <v>43070</v>
      </c>
      <c r="AJ4" s="444">
        <v>43101</v>
      </c>
      <c r="AK4" s="412">
        <v>43132</v>
      </c>
      <c r="AL4" s="412">
        <v>43160</v>
      </c>
      <c r="AM4" s="235"/>
      <c r="AN4" s="459" t="s">
        <v>114</v>
      </c>
      <c r="AO4" s="461">
        <v>42795</v>
      </c>
      <c r="AP4" s="457">
        <v>42826</v>
      </c>
      <c r="AQ4" s="457">
        <v>42856</v>
      </c>
      <c r="AR4" s="457">
        <v>42887</v>
      </c>
      <c r="AS4" s="457">
        <v>42917</v>
      </c>
      <c r="AT4" s="457">
        <v>42948</v>
      </c>
      <c r="AU4" s="457">
        <v>42979</v>
      </c>
      <c r="AV4" s="457">
        <v>43009</v>
      </c>
      <c r="AW4" s="457">
        <v>43040</v>
      </c>
      <c r="AX4" s="457">
        <v>43070</v>
      </c>
      <c r="AY4" s="457">
        <v>43101</v>
      </c>
      <c r="AZ4" s="457">
        <v>43132</v>
      </c>
      <c r="BA4" s="465">
        <v>43160</v>
      </c>
      <c r="BB4" s="274"/>
      <c r="BC4" s="467" t="s">
        <v>114</v>
      </c>
      <c r="BD4" s="463">
        <v>42826</v>
      </c>
      <c r="BE4" s="463">
        <v>42856</v>
      </c>
      <c r="BF4" s="463">
        <v>42887</v>
      </c>
      <c r="BG4" s="463">
        <v>42917</v>
      </c>
      <c r="BH4" s="463">
        <v>42948</v>
      </c>
      <c r="BI4" s="463">
        <v>42979</v>
      </c>
      <c r="BJ4" s="463">
        <v>43009</v>
      </c>
      <c r="BK4" s="463">
        <v>43040</v>
      </c>
      <c r="BL4" s="463">
        <v>43070</v>
      </c>
      <c r="BM4" s="463">
        <v>43101</v>
      </c>
      <c r="BN4" s="463">
        <v>43132</v>
      </c>
      <c r="BO4" s="469">
        <v>43160</v>
      </c>
    </row>
    <row r="5" spans="1:67" ht="18" customHeight="1" thickBot="1" x14ac:dyDescent="0.35">
      <c r="A5" s="415"/>
      <c r="B5" s="401" t="s">
        <v>101</v>
      </c>
      <c r="C5" s="449"/>
      <c r="D5" s="450"/>
      <c r="E5" s="451"/>
      <c r="F5" s="429"/>
      <c r="G5" s="429"/>
      <c r="H5" s="429"/>
      <c r="I5" s="429"/>
      <c r="J5" s="452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45"/>
      <c r="V5" s="411"/>
      <c r="W5" s="413"/>
      <c r="X5" s="209"/>
      <c r="Y5" s="284"/>
      <c r="Z5" s="274"/>
      <c r="AA5" s="455"/>
      <c r="AB5" s="456"/>
      <c r="AC5" s="456"/>
      <c r="AD5" s="456"/>
      <c r="AE5" s="456"/>
      <c r="AF5" s="411"/>
      <c r="AG5" s="411"/>
      <c r="AH5" s="411"/>
      <c r="AI5" s="456"/>
      <c r="AJ5" s="445"/>
      <c r="AK5" s="456"/>
      <c r="AL5" s="456"/>
      <c r="AM5" s="235"/>
      <c r="AN5" s="460"/>
      <c r="AO5" s="462"/>
      <c r="AP5" s="458"/>
      <c r="AQ5" s="458"/>
      <c r="AR5" s="458"/>
      <c r="AS5" s="458"/>
      <c r="AT5" s="458"/>
      <c r="AU5" s="458"/>
      <c r="AV5" s="458"/>
      <c r="AW5" s="458"/>
      <c r="AX5" s="458"/>
      <c r="AY5" s="458"/>
      <c r="AZ5" s="458"/>
      <c r="BA5" s="466"/>
      <c r="BB5" s="274"/>
      <c r="BC5" s="468"/>
      <c r="BD5" s="464"/>
      <c r="BE5" s="464"/>
      <c r="BF5" s="464"/>
      <c r="BG5" s="464"/>
      <c r="BH5" s="464"/>
      <c r="BI5" s="464"/>
      <c r="BJ5" s="464"/>
      <c r="BK5" s="464"/>
      <c r="BL5" s="464"/>
      <c r="BM5" s="464"/>
      <c r="BN5" s="464"/>
      <c r="BO5" s="470"/>
    </row>
    <row r="6" spans="1:67" ht="16.2" thickBot="1" x14ac:dyDescent="0.3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250"/>
      <c r="Y6" s="250"/>
      <c r="Z6" s="277"/>
      <c r="AA6" s="61"/>
      <c r="AB6" s="251"/>
      <c r="AC6" s="241"/>
      <c r="AN6" s="210"/>
      <c r="AO6" s="210"/>
      <c r="BE6" s="199"/>
    </row>
    <row r="7" spans="1:67" ht="22.2" customHeight="1" x14ac:dyDescent="0.25">
      <c r="A7" s="331" t="s">
        <v>12</v>
      </c>
      <c r="B7" s="402" t="s">
        <v>106</v>
      </c>
      <c r="C7" s="403">
        <v>82</v>
      </c>
      <c r="D7" s="319"/>
      <c r="E7" s="10"/>
      <c r="F7" s="332"/>
      <c r="G7" s="333">
        <v>40</v>
      </c>
      <c r="H7" s="334">
        <v>40</v>
      </c>
      <c r="I7" s="335"/>
      <c r="J7" s="336"/>
      <c r="K7" s="322">
        <v>82</v>
      </c>
      <c r="L7" s="404">
        <v>40</v>
      </c>
      <c r="M7" s="405">
        <v>40</v>
      </c>
      <c r="N7" s="405">
        <v>40</v>
      </c>
      <c r="O7" s="405">
        <v>40</v>
      </c>
      <c r="P7" s="405">
        <v>40</v>
      </c>
      <c r="Q7" s="405">
        <v>40</v>
      </c>
      <c r="R7" s="405">
        <v>40</v>
      </c>
      <c r="S7" s="405">
        <v>40</v>
      </c>
      <c r="T7" s="405">
        <v>40</v>
      </c>
      <c r="U7" s="405">
        <v>40</v>
      </c>
      <c r="V7" s="405"/>
      <c r="W7" s="406"/>
      <c r="X7" s="211"/>
      <c r="Y7" s="211"/>
      <c r="Z7" s="211"/>
      <c r="AA7" s="129"/>
      <c r="AB7" s="245"/>
      <c r="AC7" s="238"/>
      <c r="AD7" s="218"/>
      <c r="AE7" s="218"/>
      <c r="AF7" s="218"/>
      <c r="AG7" s="218"/>
      <c r="AH7" s="218"/>
      <c r="AI7" s="218"/>
      <c r="AJ7" s="218"/>
      <c r="AK7" s="218"/>
      <c r="AL7" s="218"/>
      <c r="AM7" s="17"/>
      <c r="AN7" s="103"/>
      <c r="AO7" s="103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34"/>
      <c r="BC7" s="17"/>
      <c r="BD7" s="218"/>
      <c r="BE7" s="219"/>
      <c r="BF7" s="218"/>
      <c r="BG7" s="218"/>
      <c r="BH7" s="218"/>
      <c r="BI7" s="218"/>
      <c r="BJ7" s="218"/>
      <c r="BK7" s="218"/>
      <c r="BL7" s="218"/>
      <c r="BM7" s="218"/>
      <c r="BN7" s="218"/>
      <c r="BO7" s="218"/>
    </row>
    <row r="8" spans="1:67" ht="7.95" customHeight="1" x14ac:dyDescent="0.25">
      <c r="A8" s="28"/>
      <c r="B8" s="17"/>
      <c r="C8" s="17"/>
      <c r="D8" s="17"/>
      <c r="E8" s="17"/>
      <c r="F8" s="17"/>
      <c r="G8" s="17"/>
      <c r="H8" s="17" t="str">
        <f>IF((SUM(L8:WB8))=0,"",(SUM(L8:WB8)))</f>
        <v/>
      </c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AB8" s="246"/>
      <c r="AC8" s="241"/>
      <c r="AN8" s="17"/>
      <c r="AO8" s="17"/>
      <c r="BE8" s="200"/>
    </row>
    <row r="9" spans="1:67" ht="22.2" customHeight="1" x14ac:dyDescent="0.25">
      <c r="A9" s="197" t="s">
        <v>13</v>
      </c>
      <c r="B9" s="103"/>
      <c r="C9" s="187">
        <f>SUM(C10:C14)</f>
        <v>444</v>
      </c>
      <c r="D9" s="320">
        <v>441</v>
      </c>
      <c r="E9" s="325">
        <v>440</v>
      </c>
      <c r="F9" s="255" t="s">
        <v>111</v>
      </c>
      <c r="G9" s="101">
        <f>((INDEX(L9:W9,COUNT(L9:W9))/(COUNT(L9:W9)))*12)</f>
        <v>402</v>
      </c>
      <c r="H9" s="260">
        <f t="array" aca="1" ref="H9" ca="1">(OFFSET(L9,0,MAX((L9:W9&lt;&gt;"")*(COLUMN(L9:W9)))-COLUMN(L9)))</f>
        <v>335</v>
      </c>
      <c r="I9" s="326">
        <f t="shared" ref="I9:I14" ca="1" si="0">IF(H9="","",IF(H9&gt;=AN9,1,IF(AND(H9&lt;AN9,H9&gt;=BC9),2,IF(H9&lt;BC9,3,""))))</f>
        <v>2</v>
      </c>
      <c r="J9" s="324"/>
      <c r="K9" s="323">
        <f>SUM(K10:K14)</f>
        <v>444</v>
      </c>
      <c r="L9" s="191">
        <v>42</v>
      </c>
      <c r="M9" s="103">
        <v>86</v>
      </c>
      <c r="N9" s="103">
        <v>130</v>
      </c>
      <c r="O9" s="103">
        <v>144</v>
      </c>
      <c r="P9" s="103">
        <v>178</v>
      </c>
      <c r="Q9" s="103">
        <v>205</v>
      </c>
      <c r="R9" s="103">
        <f>SUM(R10:R14)</f>
        <v>228</v>
      </c>
      <c r="S9" s="103">
        <f>SUM(S10:S14)</f>
        <v>272</v>
      </c>
      <c r="T9" s="103">
        <v>297</v>
      </c>
      <c r="U9" s="103">
        <v>335</v>
      </c>
      <c r="V9" s="103"/>
      <c r="W9" s="292"/>
      <c r="X9" s="259" t="s">
        <v>116</v>
      </c>
      <c r="Y9" s="278">
        <f t="array" ref="Y9">INDEX($L$4:$W$4,MAX(IF($L9:$W9&lt;&gt;"",COLUMN($L9:$W9)-COLUMN($L$9)+1)))</f>
        <v>43101</v>
      </c>
      <c r="Z9" s="282"/>
      <c r="AA9" s="273">
        <f t="shared" ref="AA9:AA14" si="1">L9</f>
        <v>42</v>
      </c>
      <c r="AB9" s="222">
        <f>IF(M9="","",(M9-L9))</f>
        <v>44</v>
      </c>
      <c r="AC9" s="222">
        <f>IF(N9="","",(N9-M9))</f>
        <v>44</v>
      </c>
      <c r="AD9" s="222">
        <f t="shared" ref="AD9:AL14" si="2">IF(O9="","",(O9-N9))</f>
        <v>14</v>
      </c>
      <c r="AE9" s="222">
        <f t="shared" si="2"/>
        <v>34</v>
      </c>
      <c r="AF9" s="222">
        <f>IF(Q9="","",(Q9-P9))</f>
        <v>27</v>
      </c>
      <c r="AG9" s="222">
        <f t="shared" si="2"/>
        <v>23</v>
      </c>
      <c r="AH9" s="222">
        <f t="shared" si="2"/>
        <v>44</v>
      </c>
      <c r="AI9" s="222">
        <f t="shared" si="2"/>
        <v>25</v>
      </c>
      <c r="AJ9" s="222">
        <f t="shared" si="2"/>
        <v>38</v>
      </c>
      <c r="AK9" s="222" t="str">
        <f t="shared" si="2"/>
        <v/>
      </c>
      <c r="AL9" s="222" t="str">
        <f>IF(W9="","",(W9-V9))</f>
        <v/>
      </c>
      <c r="AM9" s="17"/>
      <c r="AN9" s="222">
        <f>HLOOKUP($Y$9,staggered,6,FALSE)</f>
        <v>366.66666666666663</v>
      </c>
      <c r="AO9" s="263"/>
      <c r="AP9" s="264">
        <f>((VALUE((RIGHT($E$9,5))))/12)</f>
        <v>36.666666666666664</v>
      </c>
      <c r="AQ9" s="264">
        <f>((VALUE((RIGHT($E$9,5))))/12)*2</f>
        <v>73.333333333333329</v>
      </c>
      <c r="AR9" s="264">
        <f>((VALUE((RIGHT($E$9,5))))/12)*3</f>
        <v>110</v>
      </c>
      <c r="AS9" s="264">
        <f>((VALUE((RIGHT($E$9,5))))/12)*4</f>
        <v>146.66666666666666</v>
      </c>
      <c r="AT9" s="264">
        <f>((VALUE((RIGHT($E$9,5))))/12)*5</f>
        <v>183.33333333333331</v>
      </c>
      <c r="AU9" s="264">
        <f>((VALUE((RIGHT($E$9,5))))/12)*6</f>
        <v>220</v>
      </c>
      <c r="AV9" s="264">
        <f>((VALUE((RIGHT($E$9,5))))/12)*7</f>
        <v>256.66666666666663</v>
      </c>
      <c r="AW9" s="264">
        <f>((VALUE((RIGHT($E$9,5))))/12)*8</f>
        <v>293.33333333333331</v>
      </c>
      <c r="AX9" s="264">
        <f>((VALUE((RIGHT($E$9,5))))/12)*9</f>
        <v>330</v>
      </c>
      <c r="AY9" s="264">
        <f>((VALUE((RIGHT($E$9,5))))/12)*10</f>
        <v>366.66666666666663</v>
      </c>
      <c r="AZ9" s="264">
        <f>((VALUE((RIGHT($E$9,5))))/12)*11</f>
        <v>403.33333333333331</v>
      </c>
      <c r="BA9" s="269">
        <f>((VALUE((RIGHT($E$9,5))))/12)*12</f>
        <v>440</v>
      </c>
      <c r="BB9" s="275"/>
      <c r="BC9" s="273">
        <f>HLOOKUP($Y$9,amber,6,FALSE)</f>
        <v>333.33333333333337</v>
      </c>
      <c r="BD9" s="262">
        <f>400/12</f>
        <v>33.333333333333336</v>
      </c>
      <c r="BE9" s="262">
        <f>(400/12)*2</f>
        <v>66.666666666666671</v>
      </c>
      <c r="BF9" s="262">
        <f>(400/12)*3</f>
        <v>100</v>
      </c>
      <c r="BG9" s="262">
        <f>(400/12)*4</f>
        <v>133.33333333333334</v>
      </c>
      <c r="BH9" s="262">
        <f>(400/12)*5</f>
        <v>166.66666666666669</v>
      </c>
      <c r="BI9" s="262">
        <f>(400/12)*6</f>
        <v>200</v>
      </c>
      <c r="BJ9" s="262">
        <f>(400/12)*7</f>
        <v>233.33333333333334</v>
      </c>
      <c r="BK9" s="262">
        <f>(400/12)*8</f>
        <v>266.66666666666669</v>
      </c>
      <c r="BL9" s="262">
        <f>(400/12)*9</f>
        <v>300</v>
      </c>
      <c r="BM9" s="262">
        <f>(400/12)*10</f>
        <v>333.33333333333337</v>
      </c>
      <c r="BN9" s="262">
        <f>(400/12)*11</f>
        <v>366.66666666666669</v>
      </c>
      <c r="BO9" s="262">
        <f>(400/12)*12</f>
        <v>400</v>
      </c>
    </row>
    <row r="10" spans="1:67" ht="22.2" customHeight="1" x14ac:dyDescent="0.25">
      <c r="A10" s="303" t="s">
        <v>156</v>
      </c>
      <c r="B10" s="103"/>
      <c r="C10" s="187">
        <v>146</v>
      </c>
      <c r="D10" s="181">
        <v>115</v>
      </c>
      <c r="E10" s="325">
        <v>113</v>
      </c>
      <c r="F10" s="255" t="s">
        <v>111</v>
      </c>
      <c r="G10" s="101">
        <f t="shared" ref="G10:G14" si="3">((INDEX(L10:W10,COUNT(L10:W10))/(COUNT(L10:W10)))*12)</f>
        <v>126</v>
      </c>
      <c r="H10" s="260">
        <f t="array" aca="1" ref="H10" ca="1">(OFFSET(L10,0,MAX((L10:W10&lt;&gt;"")*(COLUMN(L10:W10)))-COLUMN(L10)))</f>
        <v>105</v>
      </c>
      <c r="I10" s="326">
        <f t="shared" ca="1" si="0"/>
        <v>1</v>
      </c>
      <c r="J10" s="324"/>
      <c r="K10" s="323">
        <v>146</v>
      </c>
      <c r="L10" s="191">
        <v>14</v>
      </c>
      <c r="M10" s="103">
        <v>27</v>
      </c>
      <c r="N10" s="103">
        <v>38</v>
      </c>
      <c r="O10" s="103">
        <v>41</v>
      </c>
      <c r="P10" s="103">
        <v>49</v>
      </c>
      <c r="Q10" s="103">
        <v>59</v>
      </c>
      <c r="R10" s="103">
        <v>66</v>
      </c>
      <c r="S10" s="103">
        <v>80</v>
      </c>
      <c r="T10" s="103">
        <v>85</v>
      </c>
      <c r="U10" s="103">
        <v>105</v>
      </c>
      <c r="V10" s="103"/>
      <c r="W10" s="292"/>
      <c r="X10" s="259" t="s">
        <v>110</v>
      </c>
      <c r="Y10" s="279">
        <f t="array" ref="Y10">INDEX($L$4:$W$4,MAX(IF($L10:$W10&lt;&gt;"",COLUMN($L10:$W10)-COLUMN($L$9)+1)))</f>
        <v>43101</v>
      </c>
      <c r="Z10" s="266"/>
      <c r="AA10" s="273">
        <f t="shared" si="1"/>
        <v>14</v>
      </c>
      <c r="AB10" s="222">
        <f>IF(M10="","",(M10-L10))</f>
        <v>13</v>
      </c>
      <c r="AC10" s="222">
        <f t="shared" ref="AC10:AC14" si="4">IF(N10="","",(N10-M10))</f>
        <v>11</v>
      </c>
      <c r="AD10" s="222">
        <f t="shared" si="2"/>
        <v>3</v>
      </c>
      <c r="AE10" s="222">
        <f t="shared" si="2"/>
        <v>8</v>
      </c>
      <c r="AF10" s="222">
        <f t="shared" si="2"/>
        <v>10</v>
      </c>
      <c r="AG10" s="222"/>
      <c r="AH10" s="222">
        <f t="shared" si="2"/>
        <v>14</v>
      </c>
      <c r="AI10" s="222">
        <f t="shared" si="2"/>
        <v>5</v>
      </c>
      <c r="AJ10" s="222">
        <f t="shared" si="2"/>
        <v>20</v>
      </c>
      <c r="AK10" s="222" t="str">
        <f t="shared" si="2"/>
        <v/>
      </c>
      <c r="AL10" s="222" t="str">
        <f t="shared" si="2"/>
        <v/>
      </c>
      <c r="AM10" s="17"/>
      <c r="AN10" s="222">
        <f>HLOOKUP($Y$10,staggered,7,FALSE)</f>
        <v>94.166666666666657</v>
      </c>
      <c r="AO10" s="218"/>
      <c r="AP10" s="264">
        <f>((VALUE((RIGHT($E$10,5))))/12)</f>
        <v>9.4166666666666661</v>
      </c>
      <c r="AQ10" s="264">
        <f>((VALUE((RIGHT($E$10,5))))/12)*2</f>
        <v>18.833333333333332</v>
      </c>
      <c r="AR10" s="264">
        <f>((VALUE((RIGHT($E$10,5))))/12)*3</f>
        <v>28.25</v>
      </c>
      <c r="AS10" s="264">
        <f>((VALUE((RIGHT($E$10,5))))/12)*4</f>
        <v>37.666666666666664</v>
      </c>
      <c r="AT10" s="264">
        <f>((VALUE((RIGHT($E$10,5))))/12)*5</f>
        <v>47.083333333333329</v>
      </c>
      <c r="AU10" s="264">
        <f>((VALUE((RIGHT($E$10,5))))/12)*6</f>
        <v>56.5</v>
      </c>
      <c r="AV10" s="264">
        <f>((VALUE((RIGHT($E$10,5))))/12)*7</f>
        <v>65.916666666666657</v>
      </c>
      <c r="AW10" s="264">
        <f>((VALUE((RIGHT($E$10,5))))/12)*8</f>
        <v>75.333333333333329</v>
      </c>
      <c r="AX10" s="264">
        <f>((VALUE((RIGHT($E$10,5))))/12)*9</f>
        <v>84.75</v>
      </c>
      <c r="AY10" s="264">
        <f>((VALUE((RIGHT($E$10,5))))/12)*10</f>
        <v>94.166666666666657</v>
      </c>
      <c r="AZ10" s="264">
        <f>((VALUE((RIGHT($E$10,5))))/12)*11</f>
        <v>103.58333333333333</v>
      </c>
      <c r="BA10" s="269">
        <f>((VALUE((RIGHT($E$10,5))))/12)*12</f>
        <v>113</v>
      </c>
      <c r="BC10" s="273">
        <f>HLOOKUP($Y$9,amber,7,FALSE)</f>
        <v>75</v>
      </c>
      <c r="BD10" s="262">
        <f>90/12</f>
        <v>7.5</v>
      </c>
      <c r="BE10" s="262">
        <f>(90/12)*2</f>
        <v>15</v>
      </c>
      <c r="BF10" s="262">
        <f>(90/12)*3</f>
        <v>22.5</v>
      </c>
      <c r="BG10" s="262">
        <f>(90/12)*4</f>
        <v>30</v>
      </c>
      <c r="BH10" s="262">
        <f>(90/12)*5</f>
        <v>37.5</v>
      </c>
      <c r="BI10" s="262">
        <f>(90/12)*6</f>
        <v>45</v>
      </c>
      <c r="BJ10" s="262">
        <f>(90/12)*7</f>
        <v>52.5</v>
      </c>
      <c r="BK10" s="262">
        <f>(90/12)*8</f>
        <v>60</v>
      </c>
      <c r="BL10" s="262">
        <f>(90/12)*9</f>
        <v>67.5</v>
      </c>
      <c r="BM10" s="262">
        <f>(90/12)*10</f>
        <v>75</v>
      </c>
      <c r="BN10" s="262">
        <f>(90/12)*11</f>
        <v>82.5</v>
      </c>
      <c r="BO10" s="262">
        <f>(90/12)*12</f>
        <v>90</v>
      </c>
    </row>
    <row r="11" spans="1:67" ht="22.2" customHeight="1" x14ac:dyDescent="0.25">
      <c r="A11" s="303" t="s">
        <v>157</v>
      </c>
      <c r="B11" s="103"/>
      <c r="C11" s="187">
        <v>125</v>
      </c>
      <c r="D11" s="181">
        <v>141</v>
      </c>
      <c r="E11" s="325">
        <v>141</v>
      </c>
      <c r="F11" s="255" t="s">
        <v>111</v>
      </c>
      <c r="G11" s="101">
        <f t="shared" si="3"/>
        <v>124.80000000000001</v>
      </c>
      <c r="H11" s="260">
        <f t="array" aca="1" ref="H11" ca="1">(OFFSET(L11,0,MAX((L11:W11&lt;&gt;"")*(COLUMN(L11:W11)))-COLUMN(L11)))</f>
        <v>104</v>
      </c>
      <c r="I11" s="326">
        <f t="shared" ca="1" si="0"/>
        <v>2</v>
      </c>
      <c r="J11" s="324"/>
      <c r="K11" s="323">
        <v>125</v>
      </c>
      <c r="L11" s="191">
        <v>12</v>
      </c>
      <c r="M11" s="103">
        <v>19</v>
      </c>
      <c r="N11" s="103">
        <v>37</v>
      </c>
      <c r="O11" s="103">
        <v>44</v>
      </c>
      <c r="P11" s="103">
        <v>57</v>
      </c>
      <c r="Q11" s="103">
        <v>66</v>
      </c>
      <c r="R11" s="103">
        <v>72</v>
      </c>
      <c r="S11" s="103">
        <v>86</v>
      </c>
      <c r="T11" s="103">
        <v>94</v>
      </c>
      <c r="U11" s="103">
        <v>104</v>
      </c>
      <c r="V11" s="103"/>
      <c r="W11" s="292"/>
      <c r="X11" s="259" t="s">
        <v>110</v>
      </c>
      <c r="Y11" s="279">
        <f t="array" ref="Y11">INDEX($L$4:$W$4,MAX(IF($L11:$W11&lt;&gt;"",COLUMN($L11:$W11)-COLUMN($L$9)+1)))</f>
        <v>43101</v>
      </c>
      <c r="Z11" s="266"/>
      <c r="AA11" s="273">
        <f t="shared" si="1"/>
        <v>12</v>
      </c>
      <c r="AB11" s="222">
        <f>M11-L11</f>
        <v>7</v>
      </c>
      <c r="AC11" s="222">
        <f t="shared" si="4"/>
        <v>18</v>
      </c>
      <c r="AD11" s="222">
        <f t="shared" si="2"/>
        <v>7</v>
      </c>
      <c r="AE11" s="222">
        <f t="shared" si="2"/>
        <v>13</v>
      </c>
      <c r="AF11" s="222">
        <f t="shared" si="2"/>
        <v>9</v>
      </c>
      <c r="AG11" s="222">
        <f t="shared" si="2"/>
        <v>6</v>
      </c>
      <c r="AH11" s="222">
        <f t="shared" si="2"/>
        <v>14</v>
      </c>
      <c r="AI11" s="222">
        <f t="shared" si="2"/>
        <v>8</v>
      </c>
      <c r="AJ11" s="222">
        <f t="shared" si="2"/>
        <v>10</v>
      </c>
      <c r="AK11" s="222" t="str">
        <f t="shared" si="2"/>
        <v/>
      </c>
      <c r="AL11" s="222" t="str">
        <f t="shared" si="2"/>
        <v/>
      </c>
      <c r="AM11" s="17"/>
      <c r="AN11" s="222">
        <f>HLOOKUP($Y$11,staggered,8,FALSE)</f>
        <v>117.5</v>
      </c>
      <c r="AO11" s="218"/>
      <c r="AP11" s="264">
        <f>((VALUE((RIGHT($E$11,5))))/12)</f>
        <v>11.75</v>
      </c>
      <c r="AQ11" s="264">
        <f>((VALUE((RIGHT($E$11,5))))/12)*2</f>
        <v>23.5</v>
      </c>
      <c r="AR11" s="264">
        <f>((VALUE((RIGHT($E$11,5))))/12)*3</f>
        <v>35.25</v>
      </c>
      <c r="AS11" s="264">
        <f>((VALUE((RIGHT($E$11,5))))/12)*4</f>
        <v>47</v>
      </c>
      <c r="AT11" s="264">
        <f>((VALUE((RIGHT($E$11,5))))/12)*5</f>
        <v>58.75</v>
      </c>
      <c r="AU11" s="264">
        <f>((VALUE((RIGHT($E$11,5))))/12)*6</f>
        <v>70.5</v>
      </c>
      <c r="AV11" s="264">
        <f>((VALUE((RIGHT($E$11,5))))/12)*7</f>
        <v>82.25</v>
      </c>
      <c r="AW11" s="264">
        <f>((VALUE((RIGHT($E$11,5))))/12)*8</f>
        <v>94</v>
      </c>
      <c r="AX11" s="264">
        <f>((VALUE((RIGHT($E$11,5))))/12)*9</f>
        <v>105.75</v>
      </c>
      <c r="AY11" s="264">
        <f>((VALUE((RIGHT($E$11,5))))/12)*10</f>
        <v>117.5</v>
      </c>
      <c r="AZ11" s="264">
        <f>((VALUE((RIGHT($E$11,5))))/12)*11</f>
        <v>129.25</v>
      </c>
      <c r="BA11" s="269">
        <f>((VALUE((RIGHT($E$11,5))))/12)*12</f>
        <v>141</v>
      </c>
      <c r="BC11" s="273">
        <f>HLOOKUP($Y$9,amber,8,FALSE)</f>
        <v>91.666666666666657</v>
      </c>
      <c r="BD11" s="262">
        <f>110/12</f>
        <v>9.1666666666666661</v>
      </c>
      <c r="BE11" s="262">
        <f>(110/12)*2</f>
        <v>18.333333333333332</v>
      </c>
      <c r="BF11" s="262">
        <f>(110/12)*3</f>
        <v>27.5</v>
      </c>
      <c r="BG11" s="262">
        <f>(110/12)*4</f>
        <v>36.666666666666664</v>
      </c>
      <c r="BH11" s="262">
        <f>(110/12)*5</f>
        <v>45.833333333333329</v>
      </c>
      <c r="BI11" s="262">
        <f>(110/12)*6</f>
        <v>55</v>
      </c>
      <c r="BJ11" s="262">
        <f>(110/12)*7</f>
        <v>64.166666666666657</v>
      </c>
      <c r="BK11" s="262">
        <f>(110/12)*8</f>
        <v>73.333333333333329</v>
      </c>
      <c r="BL11" s="262">
        <f>(110/12)*9</f>
        <v>82.5</v>
      </c>
      <c r="BM11" s="262">
        <f>(110/12)*10</f>
        <v>91.666666666666657</v>
      </c>
      <c r="BN11" s="262">
        <f>(110/12)*11</f>
        <v>100.83333333333333</v>
      </c>
      <c r="BO11" s="262">
        <f>(110/12)*12</f>
        <v>110</v>
      </c>
    </row>
    <row r="12" spans="1:67" ht="22.2" customHeight="1" x14ac:dyDescent="0.25">
      <c r="A12" s="303" t="s">
        <v>158</v>
      </c>
      <c r="B12" s="103"/>
      <c r="C12" s="187">
        <v>93</v>
      </c>
      <c r="D12" s="181">
        <v>101</v>
      </c>
      <c r="E12" s="325">
        <v>102</v>
      </c>
      <c r="F12" s="255" t="s">
        <v>111</v>
      </c>
      <c r="G12" s="101">
        <f t="shared" si="3"/>
        <v>91.199999999999989</v>
      </c>
      <c r="H12" s="260">
        <f t="array" aca="1" ref="H12" ca="1">(OFFSET(L12,0,MAX((L12:W12&lt;&gt;"")*(COLUMN(L12:W12)))-COLUMN(L12)))</f>
        <v>76</v>
      </c>
      <c r="I12" s="326">
        <f t="shared" ca="1" si="0"/>
        <v>2</v>
      </c>
      <c r="J12" s="324"/>
      <c r="K12" s="323">
        <v>93</v>
      </c>
      <c r="L12" s="191">
        <v>9</v>
      </c>
      <c r="M12" s="103">
        <v>24</v>
      </c>
      <c r="N12" s="103">
        <v>34</v>
      </c>
      <c r="O12" s="103">
        <v>38</v>
      </c>
      <c r="P12" s="103">
        <v>45</v>
      </c>
      <c r="Q12" s="103">
        <v>50</v>
      </c>
      <c r="R12" s="103">
        <v>57</v>
      </c>
      <c r="S12" s="103">
        <v>66</v>
      </c>
      <c r="T12" s="103">
        <v>74</v>
      </c>
      <c r="U12" s="103">
        <v>76</v>
      </c>
      <c r="V12" s="103"/>
      <c r="W12" s="292"/>
      <c r="X12" s="259" t="s">
        <v>110</v>
      </c>
      <c r="Y12" s="279">
        <f t="array" ref="Y12">INDEX($L$4:$W$4,MAX(IF($L12:$W12&lt;&gt;"",COLUMN($L12:$W12)-COLUMN($L$9)+1)))</f>
        <v>43101</v>
      </c>
      <c r="Z12" s="266"/>
      <c r="AA12" s="273">
        <f t="shared" si="1"/>
        <v>9</v>
      </c>
      <c r="AB12" s="222">
        <f>M12-L12</f>
        <v>15</v>
      </c>
      <c r="AC12" s="222">
        <f t="shared" si="4"/>
        <v>10</v>
      </c>
      <c r="AD12" s="222">
        <f t="shared" si="2"/>
        <v>4</v>
      </c>
      <c r="AE12" s="222">
        <f t="shared" si="2"/>
        <v>7</v>
      </c>
      <c r="AF12" s="222">
        <f t="shared" si="2"/>
        <v>5</v>
      </c>
      <c r="AG12" s="222">
        <f t="shared" si="2"/>
        <v>7</v>
      </c>
      <c r="AH12" s="222">
        <f t="shared" si="2"/>
        <v>9</v>
      </c>
      <c r="AI12" s="222">
        <f t="shared" si="2"/>
        <v>8</v>
      </c>
      <c r="AJ12" s="222">
        <f t="shared" si="2"/>
        <v>2</v>
      </c>
      <c r="AK12" s="222" t="str">
        <f t="shared" si="2"/>
        <v/>
      </c>
      <c r="AL12" s="222" t="str">
        <f t="shared" si="2"/>
        <v/>
      </c>
      <c r="AM12" s="17"/>
      <c r="AN12" s="222">
        <f>HLOOKUP(Y12,staggered,9,FALSE)</f>
        <v>85</v>
      </c>
      <c r="AO12" s="218"/>
      <c r="AP12" s="264">
        <f>((VALUE((RIGHT($E$12,5))))/12)</f>
        <v>8.5</v>
      </c>
      <c r="AQ12" s="264">
        <f>((VALUE((RIGHT($E$12,5))))/12)*2</f>
        <v>17</v>
      </c>
      <c r="AR12" s="264">
        <f>((VALUE((RIGHT($E$12,5))))/12)*3</f>
        <v>25.5</v>
      </c>
      <c r="AS12" s="264">
        <f>((VALUE((RIGHT($E$12,5))))/12)*4</f>
        <v>34</v>
      </c>
      <c r="AT12" s="264">
        <f>((VALUE((RIGHT($E$12,5))))/12)*5</f>
        <v>42.5</v>
      </c>
      <c r="AU12" s="264">
        <f>((VALUE((RIGHT($E$12,5))))/12)*6</f>
        <v>51</v>
      </c>
      <c r="AV12" s="264">
        <f>((VALUE((RIGHT($E$12,5))))/12)*7</f>
        <v>59.5</v>
      </c>
      <c r="AW12" s="264">
        <f>((VALUE((RIGHT($E$12,5))))/12)*8</f>
        <v>68</v>
      </c>
      <c r="AX12" s="264">
        <f>((VALUE((RIGHT($E$12,5))))/12)*9</f>
        <v>76.5</v>
      </c>
      <c r="AY12" s="264">
        <f>((VALUE((RIGHT($E$12,5))))/12)*10</f>
        <v>85</v>
      </c>
      <c r="AZ12" s="264">
        <f>((VALUE((RIGHT($E$12,5))))/12)*11</f>
        <v>93.5</v>
      </c>
      <c r="BA12" s="269">
        <f>((VALUE((RIGHT($E$12,5))))/12)*12</f>
        <v>102</v>
      </c>
      <c r="BC12" s="273">
        <f>HLOOKUP($Y$9,amber,9,FALSE)</f>
        <v>66.666666666666671</v>
      </c>
      <c r="BD12" s="262">
        <f>80/12</f>
        <v>6.666666666666667</v>
      </c>
      <c r="BE12" s="262">
        <f>(80/12)*2</f>
        <v>13.333333333333334</v>
      </c>
      <c r="BF12" s="262">
        <f>(80/12)*3</f>
        <v>20</v>
      </c>
      <c r="BG12" s="262">
        <f>(80/12)*4</f>
        <v>26.666666666666668</v>
      </c>
      <c r="BH12" s="262">
        <f>(80/12)*5</f>
        <v>33.333333333333336</v>
      </c>
      <c r="BI12" s="262">
        <f>(80/12)*6</f>
        <v>40</v>
      </c>
      <c r="BJ12" s="262">
        <f>(80/12)*7</f>
        <v>46.666666666666671</v>
      </c>
      <c r="BK12" s="262">
        <f>(80/12)*8</f>
        <v>53.333333333333336</v>
      </c>
      <c r="BL12" s="262">
        <f>(80/12)*9</f>
        <v>60</v>
      </c>
      <c r="BM12" s="262">
        <f>(80/12)*10</f>
        <v>66.666666666666671</v>
      </c>
      <c r="BN12" s="262">
        <f>(80/12)*11</f>
        <v>73.333333333333343</v>
      </c>
      <c r="BO12" s="262">
        <f>(80/12)*12</f>
        <v>80</v>
      </c>
    </row>
    <row r="13" spans="1:67" ht="22.2" customHeight="1" x14ac:dyDescent="0.25">
      <c r="A13" s="303" t="s">
        <v>159</v>
      </c>
      <c r="B13" s="103"/>
      <c r="C13" s="187">
        <v>74</v>
      </c>
      <c r="D13" s="181">
        <v>80</v>
      </c>
      <c r="E13" s="325">
        <v>79</v>
      </c>
      <c r="F13" s="255" t="s">
        <v>111</v>
      </c>
      <c r="G13" s="101">
        <f t="shared" si="3"/>
        <v>57.599999999999994</v>
      </c>
      <c r="H13" s="260">
        <f t="array" aca="1" ref="H13" ca="1">(OFFSET(L13,0,MAX((L13:W13&lt;&gt;"")*(COLUMN(L13:W13)))-COLUMN(L13)))</f>
        <v>48</v>
      </c>
      <c r="I13" s="326">
        <f t="shared" ca="1" si="0"/>
        <v>2</v>
      </c>
      <c r="J13" s="324"/>
      <c r="K13" s="323">
        <v>74</v>
      </c>
      <c r="L13" s="310">
        <v>6</v>
      </c>
      <c r="M13" s="311">
        <v>15</v>
      </c>
      <c r="N13" s="311">
        <v>20</v>
      </c>
      <c r="O13" s="311">
        <v>20</v>
      </c>
      <c r="P13" s="311">
        <v>26</v>
      </c>
      <c r="Q13" s="311">
        <v>29</v>
      </c>
      <c r="R13" s="311">
        <v>32</v>
      </c>
      <c r="S13" s="311">
        <v>38</v>
      </c>
      <c r="T13" s="311">
        <v>42</v>
      </c>
      <c r="U13" s="311">
        <v>48</v>
      </c>
      <c r="V13" s="311"/>
      <c r="W13" s="312"/>
      <c r="X13" s="259" t="s">
        <v>110</v>
      </c>
      <c r="Y13" s="279">
        <f t="array" ref="Y13">INDEX($L$4:$W$4,MAX(IF($L13:$W13&lt;&gt;"",COLUMN($L13:$W13)-COLUMN($L$9)+1)))</f>
        <v>43101</v>
      </c>
      <c r="Z13" s="266"/>
      <c r="AA13" s="273">
        <f t="shared" si="1"/>
        <v>6</v>
      </c>
      <c r="AB13" s="222">
        <f>M13-L13</f>
        <v>9</v>
      </c>
      <c r="AC13" s="222">
        <f t="shared" si="4"/>
        <v>5</v>
      </c>
      <c r="AD13" s="222">
        <f t="shared" si="2"/>
        <v>0</v>
      </c>
      <c r="AE13" s="222">
        <f t="shared" si="2"/>
        <v>6</v>
      </c>
      <c r="AF13" s="222">
        <f t="shared" si="2"/>
        <v>3</v>
      </c>
      <c r="AG13" s="222">
        <f t="shared" si="2"/>
        <v>3</v>
      </c>
      <c r="AH13" s="222">
        <f t="shared" si="2"/>
        <v>6</v>
      </c>
      <c r="AI13" s="222">
        <f t="shared" si="2"/>
        <v>4</v>
      </c>
      <c r="AJ13" s="222">
        <f t="shared" si="2"/>
        <v>6</v>
      </c>
      <c r="AK13" s="222" t="str">
        <f t="shared" si="2"/>
        <v/>
      </c>
      <c r="AL13" s="222" t="str">
        <f t="shared" si="2"/>
        <v/>
      </c>
      <c r="AM13" s="17"/>
      <c r="AN13" s="222">
        <f>HLOOKUP(Y13,staggered,10,FALSE)</f>
        <v>65.833333333333329</v>
      </c>
      <c r="AO13" s="218"/>
      <c r="AP13" s="264">
        <f>((VALUE((RIGHT($E$13,5))))/12)</f>
        <v>6.583333333333333</v>
      </c>
      <c r="AQ13" s="264">
        <f>((VALUE((RIGHT($E$13,5))))/12)*2</f>
        <v>13.166666666666666</v>
      </c>
      <c r="AR13" s="264">
        <f>((VALUE((RIGHT($E$13,5))))/12)*3</f>
        <v>19.75</v>
      </c>
      <c r="AS13" s="264">
        <f>((VALUE((RIGHT($E$13,5))))/12)*4</f>
        <v>26.333333333333332</v>
      </c>
      <c r="AT13" s="264">
        <f>((VALUE((RIGHT($E$13,5))))/12)*5</f>
        <v>32.916666666666664</v>
      </c>
      <c r="AU13" s="264">
        <f>((VALUE((RIGHT($E$13,5))))/12)*6</f>
        <v>39.5</v>
      </c>
      <c r="AV13" s="264">
        <f>((VALUE((RIGHT($E$13,5))))/12)*7</f>
        <v>46.083333333333329</v>
      </c>
      <c r="AW13" s="264">
        <f>((VALUE((RIGHT($E$13,5))))/12)*8</f>
        <v>52.666666666666664</v>
      </c>
      <c r="AX13" s="264">
        <f>((VALUE((RIGHT($E$13,5))))/12)*9</f>
        <v>59.25</v>
      </c>
      <c r="AY13" s="264">
        <f>((VALUE((RIGHT($E$13,5))))/12)*10</f>
        <v>65.833333333333329</v>
      </c>
      <c r="AZ13" s="264">
        <f>((VALUE((RIGHT($E$13,5))))/12)*11</f>
        <v>72.416666666666657</v>
      </c>
      <c r="BA13" s="269">
        <f>((VALUE((RIGHT($E$13,5))))/12)*12</f>
        <v>79</v>
      </c>
      <c r="BC13" s="273">
        <f>HLOOKUP($Y$9,amber,10,FALSE)</f>
        <v>1.6666666666666665</v>
      </c>
      <c r="BD13" s="262">
        <f>2/12</f>
        <v>0.16666666666666666</v>
      </c>
      <c r="BE13" s="262">
        <f>(2/12)*2</f>
        <v>0.33333333333333331</v>
      </c>
      <c r="BF13" s="262">
        <f>(2/12)*3</f>
        <v>0.5</v>
      </c>
      <c r="BG13" s="262">
        <f>(2/12)*4</f>
        <v>0.66666666666666663</v>
      </c>
      <c r="BH13" s="262">
        <f>(2/12)*5</f>
        <v>0.83333333333333326</v>
      </c>
      <c r="BI13" s="262">
        <f>(2/12)*6</f>
        <v>1</v>
      </c>
      <c r="BJ13" s="262">
        <f>(2/12)*7</f>
        <v>1.1666666666666665</v>
      </c>
      <c r="BK13" s="262">
        <f>(2/12)*8</f>
        <v>1.3333333333333333</v>
      </c>
      <c r="BL13" s="262">
        <f>(2/12)*9</f>
        <v>1.5</v>
      </c>
      <c r="BM13" s="262">
        <f>(2/12)*10</f>
        <v>1.6666666666666665</v>
      </c>
      <c r="BN13" s="262">
        <f>(2/12)*11</f>
        <v>1.8333333333333333</v>
      </c>
      <c r="BO13" s="262">
        <f>(2/12)*12</f>
        <v>2</v>
      </c>
    </row>
    <row r="14" spans="1:67" ht="22.2" customHeight="1" x14ac:dyDescent="0.25">
      <c r="A14" s="303" t="s">
        <v>160</v>
      </c>
      <c r="B14" s="317"/>
      <c r="C14" s="187">
        <v>6</v>
      </c>
      <c r="D14" s="321">
        <v>4</v>
      </c>
      <c r="E14" s="325">
        <v>5</v>
      </c>
      <c r="F14" s="255" t="s">
        <v>111</v>
      </c>
      <c r="G14" s="101">
        <f t="shared" si="3"/>
        <v>2.4000000000000004</v>
      </c>
      <c r="H14" s="260">
        <f t="array" aca="1" ref="H14" ca="1">(OFFSET(L14,0,MAX((L14:W14&lt;&gt;"")*(COLUMN(L14:W14)))-COLUMN(L14)))</f>
        <v>2</v>
      </c>
      <c r="I14" s="326">
        <f t="shared" ca="1" si="0"/>
        <v>2</v>
      </c>
      <c r="J14" s="324"/>
      <c r="K14" s="323">
        <v>6</v>
      </c>
      <c r="L14" s="191">
        <v>1</v>
      </c>
      <c r="M14" s="103">
        <v>1</v>
      </c>
      <c r="N14" s="103">
        <v>1</v>
      </c>
      <c r="O14" s="103">
        <v>1</v>
      </c>
      <c r="P14" s="103">
        <v>1</v>
      </c>
      <c r="Q14" s="103">
        <v>1</v>
      </c>
      <c r="R14" s="103">
        <v>1</v>
      </c>
      <c r="S14" s="103">
        <v>2</v>
      </c>
      <c r="T14" s="103">
        <v>2</v>
      </c>
      <c r="U14" s="103">
        <v>2</v>
      </c>
      <c r="V14" s="103"/>
      <c r="W14" s="292"/>
      <c r="X14" s="259" t="s">
        <v>110</v>
      </c>
      <c r="Y14" s="279">
        <f t="array" ref="Y14">INDEX($L$4:$W$4,MAX(IF($L14:$W14&lt;&gt;"",COLUMN($L14:$W14)-COLUMN($L$9)+1)))</f>
        <v>43101</v>
      </c>
      <c r="Z14" s="266"/>
      <c r="AA14" s="273">
        <f t="shared" si="1"/>
        <v>1</v>
      </c>
      <c r="AB14" s="222">
        <f>M14-L14</f>
        <v>0</v>
      </c>
      <c r="AC14" s="222">
        <f t="shared" si="4"/>
        <v>0</v>
      </c>
      <c r="AD14" s="222">
        <f t="shared" si="2"/>
        <v>0</v>
      </c>
      <c r="AE14" s="222">
        <f t="shared" si="2"/>
        <v>0</v>
      </c>
      <c r="AF14" s="222">
        <f t="shared" si="2"/>
        <v>0</v>
      </c>
      <c r="AG14" s="222">
        <f t="shared" si="2"/>
        <v>0</v>
      </c>
      <c r="AH14" s="222">
        <f t="shared" si="2"/>
        <v>1</v>
      </c>
      <c r="AI14" s="222">
        <f t="shared" si="2"/>
        <v>0</v>
      </c>
      <c r="AJ14" s="222">
        <f t="shared" si="2"/>
        <v>0</v>
      </c>
      <c r="AK14" s="222" t="str">
        <f t="shared" si="2"/>
        <v/>
      </c>
      <c r="AL14" s="222" t="str">
        <f t="shared" si="2"/>
        <v/>
      </c>
      <c r="AM14" s="17"/>
      <c r="AN14" s="222">
        <f>HLOOKUP(Y14,staggered,11,FALSE)</f>
        <v>4.166666666666667</v>
      </c>
      <c r="AO14" s="218"/>
      <c r="AP14" s="264">
        <f>((VALUE((RIGHT(E14,5))))/12)</f>
        <v>0.41666666666666669</v>
      </c>
      <c r="AQ14" s="264">
        <f>((VALUE((RIGHT(E14,5))))/12)*2</f>
        <v>0.83333333333333337</v>
      </c>
      <c r="AR14" s="264">
        <f>((VALUE((RIGHT(E14,5))))/12)*3</f>
        <v>1.25</v>
      </c>
      <c r="AS14" s="264">
        <f>((VALUE((RIGHT(E14,5))))/12)*4</f>
        <v>1.6666666666666667</v>
      </c>
      <c r="AT14" s="264">
        <f>((VALUE((RIGHT(E14,5))))/12)*5</f>
        <v>2.0833333333333335</v>
      </c>
      <c r="AU14" s="264">
        <f>((VALUE((RIGHT(E14,5))))/12)*6</f>
        <v>2.5</v>
      </c>
      <c r="AV14" s="264">
        <f>((VALUE((RIGHT(E14,5))))/12)*7</f>
        <v>2.916666666666667</v>
      </c>
      <c r="AW14" s="264">
        <f>((VALUE((RIGHT(E14,5))))/12)*8</f>
        <v>3.3333333333333335</v>
      </c>
      <c r="AX14" s="264">
        <f>((VALUE((RIGHT(E14,5))))/12)*9</f>
        <v>3.75</v>
      </c>
      <c r="AY14" s="264">
        <f>((VALUE((RIGHT(E14,5))))/12)*10</f>
        <v>4.166666666666667</v>
      </c>
      <c r="AZ14" s="264">
        <f>((VALUE((RIGHT(E14,5))))/12)*11</f>
        <v>4.5833333333333339</v>
      </c>
      <c r="BA14" s="269">
        <f>((VALUE((RIGHT($E$14,5))))/12)*12</f>
        <v>5</v>
      </c>
      <c r="BC14" s="17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</row>
    <row r="15" spans="1:67" ht="6" customHeight="1" x14ac:dyDescent="0.25">
      <c r="A15" s="28"/>
      <c r="B15" s="17"/>
      <c r="C15" s="17"/>
      <c r="D15" s="17"/>
      <c r="E15" s="17"/>
      <c r="F15" s="17"/>
      <c r="G15" s="17"/>
      <c r="H15" s="17" t="str">
        <f>IF((SUM(L15:WB15))=0,"",(SUM(L15:WB15)))</f>
        <v/>
      </c>
      <c r="J15" s="17"/>
      <c r="K15" s="1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7"/>
      <c r="Y15" s="279"/>
      <c r="Z15" s="266"/>
      <c r="AA15" s="205"/>
      <c r="AB15" s="205"/>
      <c r="AC15" s="239"/>
      <c r="AD15" s="240"/>
      <c r="AE15" s="240"/>
      <c r="AF15" s="239"/>
      <c r="AG15" s="239"/>
      <c r="AH15" s="239"/>
      <c r="AI15" s="17"/>
      <c r="AJ15" s="17"/>
      <c r="AK15" s="17"/>
      <c r="AL15" s="17"/>
      <c r="AM15" s="17"/>
      <c r="AN15" s="205"/>
      <c r="AO15" s="17"/>
      <c r="AP15" s="17"/>
      <c r="AQ15" s="293"/>
      <c r="AR15" s="293"/>
      <c r="AS15" s="294"/>
      <c r="AT15" s="294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4"/>
      <c r="BH15" s="294"/>
      <c r="BI15" s="293"/>
      <c r="BJ15" s="17"/>
      <c r="BK15" s="17"/>
      <c r="BL15" s="17"/>
      <c r="BM15" s="17"/>
      <c r="BN15" s="17"/>
      <c r="BO15" s="17"/>
    </row>
    <row r="16" spans="1:67" ht="13.8" x14ac:dyDescent="0.25">
      <c r="A16" s="316" t="s">
        <v>19</v>
      </c>
      <c r="B16" s="17"/>
      <c r="C16" s="17"/>
      <c r="D16" s="17"/>
      <c r="E16" s="17"/>
      <c r="F16" s="17"/>
      <c r="G16" s="17"/>
      <c r="H16" s="17" t="str">
        <f>IF((SUM(L16:WB16))=0,"",(SUM(L16:WB16)))</f>
        <v/>
      </c>
      <c r="J16" s="17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7"/>
      <c r="Y16" s="279"/>
      <c r="Z16" s="266"/>
      <c r="AA16" s="205"/>
      <c r="AB16" s="205"/>
      <c r="AC16" s="239"/>
      <c r="AD16" s="240"/>
      <c r="AE16" s="240"/>
      <c r="AF16" s="239"/>
      <c r="AG16" s="239"/>
      <c r="AH16" s="239"/>
      <c r="AI16" s="17"/>
      <c r="AJ16" s="17"/>
      <c r="AK16" s="17"/>
      <c r="AL16" s="17"/>
      <c r="AM16" s="17"/>
      <c r="AN16" s="205"/>
      <c r="AO16" s="17"/>
      <c r="AP16" s="17"/>
      <c r="AQ16" s="293"/>
      <c r="AR16" s="293"/>
      <c r="AS16" s="294"/>
      <c r="AT16" s="294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4"/>
      <c r="BH16" s="294"/>
      <c r="BI16" s="293"/>
      <c r="BJ16" s="17"/>
      <c r="BK16" s="17"/>
      <c r="BL16" s="17"/>
      <c r="BM16" s="17"/>
      <c r="BN16" s="17"/>
    </row>
    <row r="17" spans="1:67" ht="22.2" customHeight="1" x14ac:dyDescent="0.25">
      <c r="A17" s="302" t="s">
        <v>144</v>
      </c>
      <c r="B17" s="103"/>
      <c r="C17" s="187">
        <v>0</v>
      </c>
      <c r="D17" s="181">
        <v>6</v>
      </c>
      <c r="E17" s="325"/>
      <c r="F17" s="255"/>
      <c r="G17" s="101">
        <f>((INDEX(L17:W17,COUNT(L17:W17))/(COUNT(L17:W17)))*12)</f>
        <v>12</v>
      </c>
      <c r="H17" s="260">
        <f t="array" aca="1" ref="H17" ca="1">(OFFSET(L17,0,MAX((L17:W17&lt;&gt;"")*(COLUMN(L17:W17)))-COLUMN(L17)))</f>
        <v>10</v>
      </c>
      <c r="I17" s="255"/>
      <c r="J17" s="324"/>
      <c r="K17" s="323">
        <v>0</v>
      </c>
      <c r="L17" s="191">
        <v>1</v>
      </c>
      <c r="M17" s="103">
        <v>3</v>
      </c>
      <c r="N17" s="103">
        <v>5</v>
      </c>
      <c r="O17" s="103">
        <v>7</v>
      </c>
      <c r="P17" s="103">
        <v>10</v>
      </c>
      <c r="Q17" s="103">
        <v>10</v>
      </c>
      <c r="R17" s="103">
        <v>10</v>
      </c>
      <c r="S17" s="103">
        <v>10</v>
      </c>
      <c r="T17" s="103">
        <v>10</v>
      </c>
      <c r="U17" s="103">
        <v>10</v>
      </c>
      <c r="V17" s="103"/>
      <c r="W17" s="292"/>
      <c r="X17" s="211" t="s">
        <v>117</v>
      </c>
      <c r="Y17" s="279">
        <f t="array" ref="Y17">INDEX($L$4:$W$4,MAX(IF($L17:$W17&lt;&gt;"",COLUMN($L17:$W17)-COLUMN($L$9)+1)))</f>
        <v>43101</v>
      </c>
      <c r="Z17" s="266"/>
      <c r="AA17" s="273">
        <f>L17</f>
        <v>1</v>
      </c>
      <c r="AB17" s="222">
        <f>M17-L17</f>
        <v>2</v>
      </c>
      <c r="AC17" s="222">
        <f t="shared" ref="AC17:AG17" si="5">N17-M17</f>
        <v>2</v>
      </c>
      <c r="AD17" s="222">
        <f t="shared" si="5"/>
        <v>2</v>
      </c>
      <c r="AE17" s="222">
        <f t="shared" si="5"/>
        <v>3</v>
      </c>
      <c r="AF17" s="222">
        <f t="shared" si="5"/>
        <v>0</v>
      </c>
      <c r="AG17" s="222">
        <f t="shared" si="5"/>
        <v>0</v>
      </c>
      <c r="AH17" s="238"/>
      <c r="AI17" s="218"/>
      <c r="AJ17" s="218"/>
      <c r="AK17" s="218"/>
      <c r="AL17" s="218"/>
      <c r="AM17" s="17"/>
      <c r="AN17" s="222"/>
      <c r="AO17" s="218"/>
      <c r="AP17" s="218"/>
      <c r="AQ17" s="218"/>
      <c r="AR17" s="218"/>
      <c r="AS17" s="220"/>
      <c r="AT17" s="220"/>
      <c r="AU17" s="218"/>
      <c r="AV17" s="218"/>
      <c r="AW17" s="218"/>
      <c r="AX17" s="218"/>
      <c r="AY17" s="218"/>
      <c r="AZ17" s="218"/>
      <c r="BA17" s="34"/>
      <c r="BC17" s="17"/>
      <c r="BD17" s="218" t="e">
        <f>#REF!-#REF!</f>
        <v>#REF!</v>
      </c>
      <c r="BE17" s="218" t="e">
        <f>AQ17-#REF!</f>
        <v>#REF!</v>
      </c>
      <c r="BF17" s="218"/>
      <c r="BG17" s="220"/>
      <c r="BH17" s="220"/>
      <c r="BI17" s="218"/>
      <c r="BJ17" s="218"/>
      <c r="BK17" s="218"/>
      <c r="BL17" s="218"/>
      <c r="BM17" s="218"/>
      <c r="BN17" s="218"/>
      <c r="BO17" s="218"/>
    </row>
    <row r="18" spans="1:67" ht="7.95" customHeight="1" x14ac:dyDescent="0.25">
      <c r="A18" s="28"/>
      <c r="B18" s="29"/>
      <c r="C18" s="17"/>
      <c r="D18" s="17"/>
      <c r="E18" s="17"/>
      <c r="F18" s="17"/>
      <c r="G18" s="304"/>
      <c r="H18" s="17" t="str">
        <f>IF((SUM(L18:WB18))=0,"",(SUM(L18:WB18)))</f>
        <v/>
      </c>
      <c r="J18" s="17"/>
      <c r="K18" s="18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7"/>
      <c r="Y18" s="279"/>
      <c r="Z18" s="266"/>
      <c r="AA18" s="241"/>
      <c r="AB18" s="206"/>
      <c r="AC18" s="241"/>
      <c r="AD18" s="242"/>
      <c r="AE18" s="242"/>
      <c r="AF18" s="241"/>
      <c r="AG18" s="241"/>
      <c r="AH18" s="241"/>
      <c r="AN18" s="206"/>
      <c r="AS18" s="201"/>
      <c r="AT18" s="201"/>
      <c r="BG18" s="201"/>
      <c r="BH18" s="201"/>
    </row>
    <row r="19" spans="1:67" ht="27.6" x14ac:dyDescent="0.25">
      <c r="A19" s="197" t="s">
        <v>21</v>
      </c>
      <c r="B19" s="103"/>
      <c r="C19" s="187">
        <v>192</v>
      </c>
      <c r="D19" s="181">
        <v>195</v>
      </c>
      <c r="E19" s="325">
        <v>195</v>
      </c>
      <c r="F19" s="255" t="s">
        <v>111</v>
      </c>
      <c r="G19" s="101">
        <f>((INDEX(L19:W19,COUNT(L19:W19))/(COUNT(L19:W19)))*12)</f>
        <v>120</v>
      </c>
      <c r="H19" s="260">
        <f t="array" aca="1" ref="H19" ca="1">(OFFSET(L19,0,MAX((L19:W19&lt;&gt;"")*(COLUMN(L19:W19)))-COLUMN(L19)))</f>
        <v>100</v>
      </c>
      <c r="I19" s="326">
        <f ca="1">IF(H19="","",IF(H19&gt;=AN19,1,IF(AND(H19&lt;AN19,H19&gt;=BC19),2,IF(H19&lt;BC19,3,""))))</f>
        <v>3</v>
      </c>
      <c r="J19" s="324"/>
      <c r="K19" s="323">
        <v>192</v>
      </c>
      <c r="L19" s="191">
        <v>16</v>
      </c>
      <c r="M19" s="103">
        <v>22</v>
      </c>
      <c r="N19" s="103">
        <v>42</v>
      </c>
      <c r="O19" s="103">
        <v>46</v>
      </c>
      <c r="P19" s="103">
        <v>69</v>
      </c>
      <c r="Q19" s="103">
        <v>79</v>
      </c>
      <c r="R19" s="103">
        <v>82</v>
      </c>
      <c r="S19" s="103">
        <v>89</v>
      </c>
      <c r="T19" s="103">
        <v>93</v>
      </c>
      <c r="U19" s="103">
        <v>100</v>
      </c>
      <c r="V19" s="103"/>
      <c r="W19" s="292"/>
      <c r="X19" s="259" t="s">
        <v>110</v>
      </c>
      <c r="Y19" s="279">
        <f t="array" ref="Y19">INDEX($L$4:$W$4,MAX(IF($L19:$W19&lt;&gt;"",COLUMN($L19:$W19)-COLUMN($L$9)+1)))</f>
        <v>43101</v>
      </c>
      <c r="Z19" s="266"/>
      <c r="AA19" s="273">
        <f>L19</f>
        <v>16</v>
      </c>
      <c r="AB19" s="222">
        <f>M19-L19</f>
        <v>6</v>
      </c>
      <c r="AC19" s="222">
        <f t="shared" ref="AC19:AL20" si="6">IF(N19="","",(N19-M19))</f>
        <v>20</v>
      </c>
      <c r="AD19" s="222">
        <f t="shared" si="6"/>
        <v>4</v>
      </c>
      <c r="AE19" s="222">
        <f t="shared" si="6"/>
        <v>23</v>
      </c>
      <c r="AF19" s="222">
        <f>IF(Q19="","",(Q19-P19))</f>
        <v>10</v>
      </c>
      <c r="AG19" s="222">
        <f t="shared" si="6"/>
        <v>3</v>
      </c>
      <c r="AH19" s="222">
        <f t="shared" si="6"/>
        <v>7</v>
      </c>
      <c r="AI19" s="222">
        <f t="shared" si="6"/>
        <v>4</v>
      </c>
      <c r="AJ19" s="222">
        <f t="shared" si="6"/>
        <v>7</v>
      </c>
      <c r="AK19" s="222" t="str">
        <f t="shared" si="6"/>
        <v/>
      </c>
      <c r="AL19" s="222" t="str">
        <f t="shared" si="6"/>
        <v/>
      </c>
      <c r="AM19" s="17"/>
      <c r="AN19" s="222">
        <f>HLOOKUP(Y19,staggered,16,FALSE)</f>
        <v>162.5</v>
      </c>
      <c r="AO19" s="218">
        <v>12</v>
      </c>
      <c r="AP19" s="264">
        <f>ROUND(((VALUE((RIGHT($E$19,5))))/12),0)</f>
        <v>16</v>
      </c>
      <c r="AQ19" s="264">
        <f>((VALUE((RIGHT($E$19,5))))/12)*2</f>
        <v>32.5</v>
      </c>
      <c r="AR19" s="264">
        <f>((VALUE((RIGHT($E$19,5))))/12)*3</f>
        <v>48.75</v>
      </c>
      <c r="AS19" s="264">
        <f>((VALUE((RIGHT($E$19,5))))/12)*4</f>
        <v>65</v>
      </c>
      <c r="AT19" s="264">
        <f>((VALUE((RIGHT($E$19,5))))/12)*5</f>
        <v>81.25</v>
      </c>
      <c r="AU19" s="264">
        <f>((VALUE((RIGHT($E$19,5))))/12)*6</f>
        <v>97.5</v>
      </c>
      <c r="AV19" s="264">
        <f>((VALUE((RIGHT($E$19,5))))/12)*7</f>
        <v>113.75</v>
      </c>
      <c r="AW19" s="264">
        <f>((VALUE((RIGHT($E$19,5))))/12)*8</f>
        <v>130</v>
      </c>
      <c r="AX19" s="264">
        <f>((VALUE((RIGHT($E$19,5))))/12)*9</f>
        <v>146.25</v>
      </c>
      <c r="AY19" s="264">
        <f>((VALUE((RIGHT($E$19,5))))/12)*10</f>
        <v>162.5</v>
      </c>
      <c r="AZ19" s="264">
        <f>((VALUE((RIGHT($E$19,5))))/12)*11</f>
        <v>178.75</v>
      </c>
      <c r="BA19" s="269">
        <f>((VALUE((RIGHT($E$19,5))))/12)*12</f>
        <v>195</v>
      </c>
      <c r="BB19" s="275"/>
      <c r="BC19" s="273">
        <f>HLOOKUP(Y19,amber,16,FALSE)</f>
        <v>141.66666666666666</v>
      </c>
      <c r="BD19" s="265">
        <f>170/12</f>
        <v>14.166666666666666</v>
      </c>
      <c r="BE19" s="265">
        <f>(170/12)*2</f>
        <v>28.333333333333332</v>
      </c>
      <c r="BF19" s="265">
        <f>(170/12)*3</f>
        <v>42.5</v>
      </c>
      <c r="BG19" s="265">
        <f>(170/12)*4</f>
        <v>56.666666666666664</v>
      </c>
      <c r="BH19" s="265">
        <f>(170/12)*5</f>
        <v>70.833333333333329</v>
      </c>
      <c r="BI19" s="265">
        <f>(170/12)*6</f>
        <v>85</v>
      </c>
      <c r="BJ19" s="265">
        <f>(170/12)*7</f>
        <v>99.166666666666657</v>
      </c>
      <c r="BK19" s="265">
        <f>(170/12)*8</f>
        <v>113.33333333333333</v>
      </c>
      <c r="BL19" s="265">
        <f>(170/12)*9</f>
        <v>127.5</v>
      </c>
      <c r="BM19" s="265">
        <f>(170/12)*10</f>
        <v>141.66666666666666</v>
      </c>
      <c r="BN19" s="265">
        <f>(170/12)*11</f>
        <v>155.83333333333331</v>
      </c>
      <c r="BO19" s="265">
        <v>170</v>
      </c>
    </row>
    <row r="20" spans="1:67" s="36" customFormat="1" ht="27.6" x14ac:dyDescent="0.25">
      <c r="A20" s="197" t="s">
        <v>22</v>
      </c>
      <c r="B20" s="103"/>
      <c r="C20" s="187">
        <v>117</v>
      </c>
      <c r="D20" s="181">
        <v>157</v>
      </c>
      <c r="E20" s="325">
        <v>158</v>
      </c>
      <c r="F20" s="255" t="s">
        <v>111</v>
      </c>
      <c r="G20" s="101">
        <f>((INDEX(L20:W20,COUNT(L20:W20))/(COUNT(L20:W20)))*12)</f>
        <v>92.4</v>
      </c>
      <c r="H20" s="260">
        <f t="array" aca="1" ref="H20" ca="1">(OFFSET(L20,0,MAX((L20:W20&lt;&gt;"")*(COLUMN(L20:W20)))-COLUMN(L20)))</f>
        <v>77</v>
      </c>
      <c r="I20" s="326">
        <f ca="1">IF(H20="","",IF(H20&gt;=AN20,1,IF(AND(H20&lt;AN20,H20&gt;=BC20),2,IF(H20&lt;BC20,3,""))))</f>
        <v>3</v>
      </c>
      <c r="J20" s="324"/>
      <c r="K20" s="323">
        <v>117</v>
      </c>
      <c r="L20" s="191">
        <v>16</v>
      </c>
      <c r="M20" s="103">
        <v>20</v>
      </c>
      <c r="N20" s="103">
        <v>31</v>
      </c>
      <c r="O20" s="103">
        <v>36</v>
      </c>
      <c r="P20" s="103">
        <v>37</v>
      </c>
      <c r="Q20" s="103">
        <v>52</v>
      </c>
      <c r="R20" s="103">
        <v>54</v>
      </c>
      <c r="S20" s="103">
        <v>67</v>
      </c>
      <c r="T20" s="103">
        <v>71</v>
      </c>
      <c r="U20" s="103">
        <v>77</v>
      </c>
      <c r="V20" s="103"/>
      <c r="W20" s="292"/>
      <c r="X20" s="259" t="s">
        <v>110</v>
      </c>
      <c r="Y20" s="279">
        <f t="array" ref="Y20">INDEX($L$4:$W$4,MAX(IF($L20:$W20&lt;&gt;"",COLUMN($L20:$W20)-COLUMN($L$9)+1)))</f>
        <v>43101</v>
      </c>
      <c r="Z20" s="266"/>
      <c r="AA20" s="273">
        <f>L20</f>
        <v>16</v>
      </c>
      <c r="AB20" s="222">
        <f>M20-L20</f>
        <v>4</v>
      </c>
      <c r="AC20" s="222">
        <f t="shared" si="6"/>
        <v>11</v>
      </c>
      <c r="AD20" s="222">
        <f t="shared" si="6"/>
        <v>5</v>
      </c>
      <c r="AE20" s="222">
        <f t="shared" si="6"/>
        <v>1</v>
      </c>
      <c r="AF20" s="222">
        <f t="shared" si="6"/>
        <v>15</v>
      </c>
      <c r="AG20" s="222">
        <f t="shared" si="6"/>
        <v>2</v>
      </c>
      <c r="AH20" s="222">
        <f t="shared" si="6"/>
        <v>13</v>
      </c>
      <c r="AI20" s="222">
        <f t="shared" si="6"/>
        <v>4</v>
      </c>
      <c r="AJ20" s="222">
        <f t="shared" si="6"/>
        <v>6</v>
      </c>
      <c r="AK20" s="222" t="str">
        <f t="shared" si="6"/>
        <v/>
      </c>
      <c r="AL20" s="222" t="str">
        <f t="shared" si="6"/>
        <v/>
      </c>
      <c r="AM20" s="17"/>
      <c r="AN20" s="222">
        <f>HLOOKUP(Y20,staggered,17,FALSE)</f>
        <v>131.66666666666666</v>
      </c>
      <c r="AO20" s="218">
        <v>5</v>
      </c>
      <c r="AP20" s="264">
        <f>((VALUE((RIGHT($E$20,5))))/12)</f>
        <v>13.166666666666666</v>
      </c>
      <c r="AQ20" s="264">
        <f>((VALUE((RIGHT($E$20,5))))/12)*2</f>
        <v>26.333333333333332</v>
      </c>
      <c r="AR20" s="264">
        <f>((VALUE((RIGHT($E$20,5))))/12)*3</f>
        <v>39.5</v>
      </c>
      <c r="AS20" s="264">
        <f>((VALUE((RIGHT($E$20,5))))/12)*4</f>
        <v>52.666666666666664</v>
      </c>
      <c r="AT20" s="264">
        <f>((VALUE((RIGHT($E$20,5))))/12)*5</f>
        <v>65.833333333333329</v>
      </c>
      <c r="AU20" s="264">
        <f>((VALUE((RIGHT($E$20,5))))/12)*6</f>
        <v>79</v>
      </c>
      <c r="AV20" s="264">
        <f>((VALUE((RIGHT($E$20,5))))/12)*7</f>
        <v>92.166666666666657</v>
      </c>
      <c r="AW20" s="264">
        <f>((VALUE((RIGHT($E$20,5))))/12)*8</f>
        <v>105.33333333333333</v>
      </c>
      <c r="AX20" s="264">
        <f>((VALUE((RIGHT($E$20,5))))/12)*9</f>
        <v>118.5</v>
      </c>
      <c r="AY20" s="264">
        <f>((VALUE((RIGHT($E$20,5))))/12)*10</f>
        <v>131.66666666666666</v>
      </c>
      <c r="AZ20" s="264">
        <f>((VALUE((RIGHT($E$20,5))))/12)*11</f>
        <v>144.83333333333331</v>
      </c>
      <c r="BA20" s="269">
        <f>((VALUE((RIGHT($E$20,5))))/12)*12</f>
        <v>158</v>
      </c>
      <c r="BB20" s="275"/>
      <c r="BC20" s="273">
        <f>HLOOKUP(Y20,amber,17,FALSE)</f>
        <v>112.5</v>
      </c>
      <c r="BD20" s="265">
        <f>135/12</f>
        <v>11.25</v>
      </c>
      <c r="BE20" s="265">
        <f>(135/12)*2</f>
        <v>22.5</v>
      </c>
      <c r="BF20" s="265">
        <f>(135/12)*3</f>
        <v>33.75</v>
      </c>
      <c r="BG20" s="265">
        <f>(135/12)*4</f>
        <v>45</v>
      </c>
      <c r="BH20" s="265">
        <f>(135/12)*5</f>
        <v>56.25</v>
      </c>
      <c r="BI20" s="265">
        <f>(135/12)*6</f>
        <v>67.5</v>
      </c>
      <c r="BJ20" s="265">
        <f>(135/12)*7</f>
        <v>78.75</v>
      </c>
      <c r="BK20" s="265">
        <f>(135/12)*8</f>
        <v>90</v>
      </c>
      <c r="BL20" s="265">
        <f>(135/12)*9</f>
        <v>101.25</v>
      </c>
      <c r="BM20" s="265">
        <f>(135/12)*10</f>
        <v>112.5</v>
      </c>
      <c r="BN20" s="265">
        <f>(135/12)*11</f>
        <v>123.75</v>
      </c>
      <c r="BO20" s="265">
        <f>(135/12)*12</f>
        <v>135</v>
      </c>
    </row>
    <row r="21" spans="1:67" ht="7.95" customHeight="1" x14ac:dyDescent="0.25">
      <c r="A21" s="28"/>
      <c r="B21" s="17"/>
      <c r="C21" s="17"/>
      <c r="D21" s="17"/>
      <c r="E21" s="17"/>
      <c r="F21" s="17"/>
      <c r="G21" s="101"/>
      <c r="H21" s="17" t="str">
        <f>IF((SUM(L21:WB21))=0,"",(SUM(L21:WB21)))</f>
        <v/>
      </c>
      <c r="J21" s="17"/>
      <c r="K21" s="18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7"/>
      <c r="Y21" s="279"/>
      <c r="Z21" s="266"/>
      <c r="AA21" s="206"/>
      <c r="AB21" s="206"/>
      <c r="AC21" s="241"/>
      <c r="AD21" s="242"/>
      <c r="AE21" s="242"/>
      <c r="AF21" s="241"/>
      <c r="AG21" s="241"/>
      <c r="AH21" s="241"/>
      <c r="AN21" s="206"/>
      <c r="AS21" s="201"/>
      <c r="AT21" s="201"/>
      <c r="BG21" s="201"/>
      <c r="BH21" s="201"/>
    </row>
    <row r="22" spans="1:67" ht="22.2" customHeight="1" x14ac:dyDescent="0.25">
      <c r="A22" s="197" t="s">
        <v>166</v>
      </c>
      <c r="B22" s="103"/>
      <c r="C22" s="187">
        <v>0</v>
      </c>
      <c r="D22" s="181">
        <v>0</v>
      </c>
      <c r="E22" s="325"/>
      <c r="F22" s="255"/>
      <c r="G22" s="101">
        <f t="shared" ref="G22" si="7">((INDEX(L22:W22,COUNT(L22:W22))/(COUNT(L22:W22)))*12)</f>
        <v>0</v>
      </c>
      <c r="H22" s="101">
        <f>IF((SUM(L22:W22))=0,0,(SUM(L22:W22)))</f>
        <v>0</v>
      </c>
      <c r="I22" s="255"/>
      <c r="J22" s="324"/>
      <c r="K22" s="323">
        <v>0</v>
      </c>
      <c r="L22" s="191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371">
        <v>0</v>
      </c>
      <c r="U22" s="103">
        <v>0</v>
      </c>
      <c r="V22" s="103"/>
      <c r="W22" s="292"/>
      <c r="X22" s="211" t="s">
        <v>117</v>
      </c>
      <c r="Y22" s="279">
        <f t="array" ref="Y22">INDEX($L$4:$W$4,MAX(IF($L22:$W22&lt;&gt;"",COLUMN($L22:$W22)-COLUMN($L$9)+1)))</f>
        <v>43101</v>
      </c>
      <c r="Z22" s="266"/>
      <c r="AA22" s="273">
        <f>L22</f>
        <v>0</v>
      </c>
      <c r="AB22" s="222">
        <f>M22-L22</f>
        <v>0</v>
      </c>
      <c r="AC22" s="222">
        <f t="shared" ref="AC22:AL22" si="8">IF(N22="","",(N22-M22))</f>
        <v>0</v>
      </c>
      <c r="AD22" s="222">
        <f t="shared" si="8"/>
        <v>0</v>
      </c>
      <c r="AE22" s="222">
        <f t="shared" si="8"/>
        <v>0</v>
      </c>
      <c r="AF22" s="222">
        <f t="shared" si="8"/>
        <v>0</v>
      </c>
      <c r="AG22" s="222">
        <f t="shared" si="8"/>
        <v>0</v>
      </c>
      <c r="AH22" s="222">
        <f t="shared" si="8"/>
        <v>0</v>
      </c>
      <c r="AI22" s="222">
        <f t="shared" si="8"/>
        <v>0</v>
      </c>
      <c r="AJ22" s="222">
        <f t="shared" si="8"/>
        <v>0</v>
      </c>
      <c r="AK22" s="222" t="str">
        <f t="shared" si="8"/>
        <v/>
      </c>
      <c r="AL22" s="222" t="str">
        <f t="shared" si="8"/>
        <v/>
      </c>
      <c r="AM22" s="17"/>
      <c r="AN22" s="222">
        <f>HLOOKUP(Y22,staggered,18,FALSE)</f>
        <v>0</v>
      </c>
      <c r="AO22" s="218">
        <v>0</v>
      </c>
      <c r="AP22" s="218"/>
      <c r="AQ22" s="218"/>
      <c r="AR22" s="218"/>
      <c r="AS22" s="220"/>
      <c r="AT22" s="220"/>
      <c r="AU22" s="218"/>
      <c r="AV22" s="218"/>
      <c r="AW22" s="218"/>
      <c r="AX22" s="218"/>
      <c r="AY22" s="218"/>
      <c r="AZ22" s="218"/>
      <c r="BA22" s="34"/>
      <c r="BC22" s="17"/>
      <c r="BD22" s="218"/>
      <c r="BE22" s="218"/>
      <c r="BF22" s="218"/>
      <c r="BG22" s="220"/>
      <c r="BH22" s="220"/>
      <c r="BI22" s="218"/>
      <c r="BJ22" s="218"/>
      <c r="BK22" s="218"/>
      <c r="BL22" s="218"/>
      <c r="BM22" s="218"/>
      <c r="BN22" s="218"/>
      <c r="BO22" s="218"/>
    </row>
    <row r="23" spans="1:67" ht="7.95" customHeight="1" x14ac:dyDescent="0.25">
      <c r="A23" s="28"/>
      <c r="B23" s="17"/>
      <c r="C23" s="17"/>
      <c r="D23" s="17"/>
      <c r="E23" s="17"/>
      <c r="F23" s="17"/>
      <c r="G23" s="304"/>
      <c r="H23" s="17" t="str">
        <f>IF((SUM(L23:WB23))=0,"",(SUM(L23:WB23)))</f>
        <v/>
      </c>
      <c r="J23" s="17"/>
      <c r="K23" s="1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7"/>
      <c r="Y23" s="279"/>
      <c r="Z23" s="266"/>
      <c r="AA23" s="206"/>
      <c r="AB23" s="206"/>
      <c r="AC23" s="241"/>
      <c r="AD23" s="242"/>
      <c r="AE23" s="242"/>
      <c r="AF23" s="241"/>
      <c r="AG23" s="241"/>
      <c r="AH23" s="241"/>
      <c r="AN23" s="206"/>
      <c r="AS23" s="201"/>
      <c r="AT23" s="201"/>
      <c r="BG23" s="201"/>
      <c r="BH23" s="201"/>
    </row>
    <row r="24" spans="1:67" ht="22.2" customHeight="1" thickBot="1" x14ac:dyDescent="0.3">
      <c r="A24" s="318" t="s">
        <v>24</v>
      </c>
      <c r="B24" s="317"/>
      <c r="C24" s="290">
        <v>40</v>
      </c>
      <c r="D24" s="181"/>
      <c r="E24" s="325"/>
      <c r="F24" s="255"/>
      <c r="G24" s="101"/>
      <c r="H24" s="260">
        <f t="array" aca="1" ref="H24" ca="1">(OFFSET(L24,0,MAX((L24:W24&lt;&gt;"")*(COLUMN(L24:W24)))-COLUMN(L24)))</f>
        <v>2</v>
      </c>
      <c r="I24" s="327"/>
      <c r="J24" s="328"/>
      <c r="K24" s="323">
        <v>40</v>
      </c>
      <c r="L24" s="329">
        <v>39</v>
      </c>
      <c r="M24" s="317">
        <v>25</v>
      </c>
      <c r="N24" s="317">
        <v>48</v>
      </c>
      <c r="O24" s="317">
        <v>25</v>
      </c>
      <c r="P24" s="317">
        <v>12</v>
      </c>
      <c r="Q24" s="317">
        <v>40</v>
      </c>
      <c r="R24" s="317">
        <v>17</v>
      </c>
      <c r="S24" s="317">
        <v>17</v>
      </c>
      <c r="T24" s="317">
        <v>18</v>
      </c>
      <c r="U24" s="317">
        <v>2</v>
      </c>
      <c r="V24" s="317"/>
      <c r="W24" s="330"/>
      <c r="X24" s="259" t="s">
        <v>115</v>
      </c>
      <c r="Y24" s="279">
        <f t="array" ref="Y24">INDEX($L$4:$W$4,MAX(IF($L24:$W24&lt;&gt;"",COLUMN($L24:$W24)-COLUMN($L$9)+1)))</f>
        <v>43101</v>
      </c>
      <c r="Z24" s="266"/>
      <c r="AA24" s="280">
        <f>L24</f>
        <v>39</v>
      </c>
      <c r="AB24" s="223">
        <f>M24-L24</f>
        <v>-14</v>
      </c>
      <c r="AC24" s="222">
        <f t="shared" ref="AC24:AL25" si="9">IF(N24="","",(N24-M24))</f>
        <v>23</v>
      </c>
      <c r="AD24" s="222">
        <f t="shared" si="9"/>
        <v>-23</v>
      </c>
      <c r="AE24" s="222">
        <f t="shared" si="9"/>
        <v>-13</v>
      </c>
      <c r="AF24" s="222">
        <f t="shared" si="9"/>
        <v>28</v>
      </c>
      <c r="AG24" s="222">
        <f t="shared" si="9"/>
        <v>-23</v>
      </c>
      <c r="AH24" s="222">
        <f t="shared" si="9"/>
        <v>0</v>
      </c>
      <c r="AI24" s="222">
        <f t="shared" si="9"/>
        <v>1</v>
      </c>
      <c r="AJ24" s="222">
        <f t="shared" si="9"/>
        <v>-16</v>
      </c>
      <c r="AK24" s="222" t="str">
        <f t="shared" si="9"/>
        <v/>
      </c>
      <c r="AL24" s="222" t="str">
        <f t="shared" si="9"/>
        <v/>
      </c>
      <c r="AM24" s="17"/>
      <c r="AN24" s="223"/>
      <c r="AO24" s="224">
        <v>-2</v>
      </c>
      <c r="AP24" s="224"/>
      <c r="AQ24" s="224"/>
      <c r="AR24" s="224"/>
      <c r="AS24" s="225"/>
      <c r="AT24" s="225"/>
      <c r="AU24" s="224"/>
      <c r="AV24" s="224"/>
      <c r="AW24" s="224"/>
      <c r="AX24" s="224"/>
      <c r="AY24" s="224"/>
      <c r="AZ24" s="224"/>
      <c r="BA24" s="270"/>
      <c r="BC24" s="17"/>
      <c r="BD24" s="224"/>
      <c r="BE24" s="224"/>
      <c r="BF24" s="224"/>
      <c r="BG24" s="225"/>
      <c r="BH24" s="225"/>
      <c r="BI24" s="224"/>
      <c r="BJ24" s="224"/>
      <c r="BK24" s="224"/>
      <c r="BL24" s="224"/>
      <c r="BM24" s="224"/>
      <c r="BN24" s="224"/>
      <c r="BO24" s="224"/>
    </row>
    <row r="25" spans="1:67" ht="22.2" customHeight="1" thickBot="1" x14ac:dyDescent="0.35">
      <c r="A25" s="38" t="s">
        <v>25</v>
      </c>
      <c r="B25" s="39"/>
      <c r="C25" s="184">
        <f>SUM(C7,C9,C19,C20,C22)-C24</f>
        <v>795</v>
      </c>
      <c r="D25" s="179">
        <f>SUM(D9,D17,D19,D20,D22)</f>
        <v>799</v>
      </c>
      <c r="E25" s="44">
        <f>E7+E9+E19+E20+E22-E24</f>
        <v>793</v>
      </c>
      <c r="F25" s="44"/>
      <c r="G25" s="44">
        <f>G7+G9+G19+G20+G22-G24</f>
        <v>654.4</v>
      </c>
      <c r="H25" s="45">
        <f ca="1">SUM(H7,H9,H19,H20,H22)-H24</f>
        <v>550</v>
      </c>
      <c r="I25" s="179"/>
      <c r="J25" s="185"/>
      <c r="K25" s="339">
        <f>SUM(K9,K19,K20,K22,K24)</f>
        <v>793</v>
      </c>
      <c r="L25" s="45">
        <f t="shared" ref="L25:U25" si="10">IF(L24="","",(SUM(L7+L9+L19+L20+L22-L24)))</f>
        <v>75</v>
      </c>
      <c r="M25" s="45">
        <f t="shared" si="10"/>
        <v>143</v>
      </c>
      <c r="N25" s="45">
        <f t="shared" si="10"/>
        <v>195</v>
      </c>
      <c r="O25" s="45">
        <f t="shared" si="10"/>
        <v>241</v>
      </c>
      <c r="P25" s="45">
        <f t="shared" si="10"/>
        <v>312</v>
      </c>
      <c r="Q25" s="45">
        <f t="shared" si="10"/>
        <v>336</v>
      </c>
      <c r="R25" s="45">
        <f t="shared" si="10"/>
        <v>387</v>
      </c>
      <c r="S25" s="45">
        <f t="shared" si="10"/>
        <v>451</v>
      </c>
      <c r="T25" s="45">
        <f t="shared" si="10"/>
        <v>483</v>
      </c>
      <c r="U25" s="45">
        <f t="shared" si="10"/>
        <v>550</v>
      </c>
      <c r="V25" s="45" t="str">
        <f t="shared" ref="V25:W25" si="11">IF(V24="","",(SUM(V7+V9+V19+V20+V22-V24)))</f>
        <v/>
      </c>
      <c r="W25" s="45" t="str">
        <f t="shared" si="11"/>
        <v/>
      </c>
      <c r="X25" s="212"/>
      <c r="Y25" s="279">
        <f t="array" ref="Y25">INDEX($L$4:$W$4,MAX(IF($L25:$W25&lt;&gt;"",COLUMN($L25:$W25)-COLUMN($L$9)+1)))</f>
        <v>43101</v>
      </c>
      <c r="Z25" s="266"/>
      <c r="AA25" s="280">
        <f>L25</f>
        <v>75</v>
      </c>
      <c r="AB25" s="223">
        <f>M25-L25</f>
        <v>68</v>
      </c>
      <c r="AC25" s="222">
        <f t="shared" si="9"/>
        <v>52</v>
      </c>
      <c r="AD25" s="222">
        <f t="shared" si="9"/>
        <v>46</v>
      </c>
      <c r="AE25" s="222">
        <f t="shared" si="9"/>
        <v>71</v>
      </c>
      <c r="AF25" s="222">
        <f t="shared" si="9"/>
        <v>24</v>
      </c>
      <c r="AG25" s="222">
        <f t="shared" si="9"/>
        <v>51</v>
      </c>
      <c r="AH25" s="222">
        <f t="shared" si="9"/>
        <v>64</v>
      </c>
      <c r="AI25" s="222">
        <f t="shared" si="9"/>
        <v>32</v>
      </c>
      <c r="AJ25" s="222">
        <f t="shared" si="9"/>
        <v>67</v>
      </c>
      <c r="AK25" s="222" t="str">
        <f t="shared" si="9"/>
        <v/>
      </c>
      <c r="AL25" s="222" t="str">
        <f t="shared" si="9"/>
        <v/>
      </c>
      <c r="AM25" s="17"/>
      <c r="AN25" s="227">
        <f>SUM(AN19:AN24)</f>
        <v>294.16666666666663</v>
      </c>
      <c r="AO25" s="228">
        <v>43</v>
      </c>
      <c r="AP25" s="228"/>
      <c r="AQ25" s="228"/>
      <c r="AR25" s="228"/>
      <c r="AS25" s="229"/>
      <c r="AT25" s="228"/>
      <c r="AU25" s="228"/>
      <c r="AV25" s="228"/>
      <c r="AW25" s="228"/>
      <c r="AX25" s="228"/>
      <c r="AY25" s="228"/>
      <c r="AZ25" s="228"/>
      <c r="BA25" s="271"/>
      <c r="BC25" s="17"/>
      <c r="BD25" s="228"/>
      <c r="BE25" s="228"/>
      <c r="BF25" s="228"/>
      <c r="BG25" s="229"/>
      <c r="BH25" s="228"/>
      <c r="BI25" s="228"/>
      <c r="BJ25" s="228"/>
      <c r="BK25" s="228"/>
      <c r="BL25" s="228"/>
      <c r="BM25" s="228"/>
      <c r="BN25" s="228"/>
      <c r="BO25" s="230"/>
    </row>
    <row r="26" spans="1:67" ht="7.95" customHeight="1" x14ac:dyDescent="0.25">
      <c r="A26" s="28"/>
      <c r="B26" s="17"/>
      <c r="C26" s="17"/>
      <c r="D26" s="17"/>
      <c r="E26" s="17"/>
      <c r="F26" s="17"/>
      <c r="G26" s="17"/>
      <c r="H26" s="17" t="str">
        <f>IF((SUM(L26:WB26))=0,"",(SUM(L26:WB26)))</f>
        <v/>
      </c>
      <c r="J26" s="17"/>
      <c r="K26" s="1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  <c r="X26" s="17"/>
      <c r="Y26" s="279"/>
      <c r="Z26" s="266"/>
      <c r="AA26" s="206"/>
      <c r="AB26" s="206"/>
      <c r="AC26" s="241"/>
      <c r="AD26" s="242"/>
      <c r="AE26" s="241"/>
      <c r="AF26" s="241"/>
      <c r="AG26" s="241"/>
      <c r="AH26" s="241"/>
      <c r="AN26" s="206"/>
      <c r="AS26" s="201"/>
      <c r="BG26" s="201"/>
    </row>
    <row r="27" spans="1:67" ht="24.75" customHeight="1" x14ac:dyDescent="0.25">
      <c r="A27" s="197" t="s">
        <v>26</v>
      </c>
      <c r="B27" s="103"/>
      <c r="C27" s="187">
        <v>150</v>
      </c>
      <c r="D27" s="181">
        <v>300</v>
      </c>
      <c r="E27" s="340">
        <v>250</v>
      </c>
      <c r="F27" s="255" t="s">
        <v>111</v>
      </c>
      <c r="G27" s="101">
        <f>((INDEX(L27:W27,COUNT(L27:W27))/(COUNT(L27:W27)))*12)</f>
        <v>237.60000000000002</v>
      </c>
      <c r="H27" s="260">
        <f t="array" aca="1" ref="H27" ca="1">(OFFSET(L27,0,MAX((L27:W27&lt;&gt;"")*(COLUMN(L27:W27)))-COLUMN(L27)))</f>
        <v>198</v>
      </c>
      <c r="I27" s="326">
        <f ca="1">IF(H27="","",IF(H27&gt;=AN27,1,IF(AND(H27&lt;AN27,H27&gt;=BC27),2,IF(H27&lt;BC27,3))))</f>
        <v>3</v>
      </c>
      <c r="J27" s="324"/>
      <c r="K27" s="323">
        <v>150</v>
      </c>
      <c r="L27" s="191">
        <v>11</v>
      </c>
      <c r="M27" s="103">
        <v>25</v>
      </c>
      <c r="N27" s="103">
        <v>67</v>
      </c>
      <c r="O27" s="103">
        <v>98</v>
      </c>
      <c r="P27" s="103">
        <v>145</v>
      </c>
      <c r="Q27" s="103">
        <v>150</v>
      </c>
      <c r="R27" s="103">
        <v>189</v>
      </c>
      <c r="S27" s="103">
        <v>191</v>
      </c>
      <c r="T27" s="103">
        <v>191</v>
      </c>
      <c r="U27" s="103">
        <v>198</v>
      </c>
      <c r="V27" s="103"/>
      <c r="W27" s="292"/>
      <c r="X27" s="259" t="s">
        <v>110</v>
      </c>
      <c r="Y27" s="279">
        <f t="array" ref="Y27">INDEX($L$4:$W$4,MAX(IF($L27:$W27&lt;&gt;"",COLUMN($L27:$W27)-COLUMN($L$9)+1)))</f>
        <v>43101</v>
      </c>
      <c r="Z27" s="266"/>
      <c r="AA27" s="273">
        <f>L27</f>
        <v>11</v>
      </c>
      <c r="AB27" s="222">
        <f>M27-L27</f>
        <v>14</v>
      </c>
      <c r="AC27" s="222">
        <f>IF(N27="","",(N27-M27))</f>
        <v>42</v>
      </c>
      <c r="AD27" s="222">
        <f t="shared" ref="AD27:AL29" si="12">IF(O27="","",(O27-N27))</f>
        <v>31</v>
      </c>
      <c r="AE27" s="222">
        <f t="shared" si="12"/>
        <v>47</v>
      </c>
      <c r="AF27" s="222">
        <f t="shared" si="12"/>
        <v>5</v>
      </c>
      <c r="AG27" s="222">
        <f t="shared" si="12"/>
        <v>39</v>
      </c>
      <c r="AH27" s="222">
        <f t="shared" si="12"/>
        <v>2</v>
      </c>
      <c r="AI27" s="222">
        <f t="shared" si="12"/>
        <v>0</v>
      </c>
      <c r="AJ27" s="222">
        <f t="shared" si="12"/>
        <v>7</v>
      </c>
      <c r="AK27" s="222" t="str">
        <f t="shared" si="12"/>
        <v/>
      </c>
      <c r="AL27" s="222" t="str">
        <f t="shared" si="12"/>
        <v/>
      </c>
      <c r="AM27" s="17"/>
      <c r="AN27" s="222">
        <f>HLOOKUP(Y27,staggered,24,FALSE)</f>
        <v>208.33333333333331</v>
      </c>
      <c r="AO27" s="218">
        <v>31.5</v>
      </c>
      <c r="AP27" s="264">
        <f>((VALUE((RIGHT($E$27,5))))/12)</f>
        <v>20.833333333333332</v>
      </c>
      <c r="AQ27" s="264">
        <f>((VALUE((RIGHT($E$27,5))))/12)*2</f>
        <v>41.666666666666664</v>
      </c>
      <c r="AR27" s="264">
        <f>((VALUE((RIGHT($E$27,5))))/12)*3</f>
        <v>62.5</v>
      </c>
      <c r="AS27" s="264">
        <f>((VALUE((RIGHT($E$27,5))))/12)*4</f>
        <v>83.333333333333329</v>
      </c>
      <c r="AT27" s="264">
        <f>((VALUE((RIGHT($E$27,5))))/12)*5</f>
        <v>104.16666666666666</v>
      </c>
      <c r="AU27" s="264">
        <f>((VALUE((RIGHT($E$27,5))))/12)*6</f>
        <v>125</v>
      </c>
      <c r="AV27" s="264">
        <f>((VALUE((RIGHT($E$27,5))))/12)*7</f>
        <v>145.83333333333331</v>
      </c>
      <c r="AW27" s="264">
        <f>((VALUE((RIGHT($E$27,5))))/12)*8</f>
        <v>166.66666666666666</v>
      </c>
      <c r="AX27" s="264">
        <f>((VALUE((RIGHT($E$27,5))))/12)*9</f>
        <v>187.5</v>
      </c>
      <c r="AY27" s="264">
        <f>((VALUE((RIGHT($E$27,5))))/12)*10</f>
        <v>208.33333333333331</v>
      </c>
      <c r="AZ27" s="264">
        <f>((VALUE((RIGHT($E$27,5))))/12)*11</f>
        <v>229.16666666666666</v>
      </c>
      <c r="BA27" s="269">
        <f>((VALUE((RIGHT($E$27,5))))/12)*12</f>
        <v>250</v>
      </c>
      <c r="BB27" s="275"/>
      <c r="BC27" s="273">
        <f>HLOOKUP(Y27,amber,24,FALSE)</f>
        <v>225</v>
      </c>
      <c r="BD27" s="262">
        <f>270/12</f>
        <v>22.5</v>
      </c>
      <c r="BE27" s="262">
        <f>(270/12)*2</f>
        <v>45</v>
      </c>
      <c r="BF27" s="262">
        <f>(270/12)*3</f>
        <v>67.5</v>
      </c>
      <c r="BG27" s="262">
        <f>(270/12)*4</f>
        <v>90</v>
      </c>
      <c r="BH27" s="262">
        <f>(270/12)*5</f>
        <v>112.5</v>
      </c>
      <c r="BI27" s="262">
        <f>(270/12)*6</f>
        <v>135</v>
      </c>
      <c r="BJ27" s="262">
        <f>(270/12)*7</f>
        <v>157.5</v>
      </c>
      <c r="BK27" s="262">
        <f>(270/12)*8</f>
        <v>180</v>
      </c>
      <c r="BL27" s="262">
        <f>(270/12)*9</f>
        <v>202.5</v>
      </c>
      <c r="BM27" s="262">
        <f>(270/12)*10</f>
        <v>225</v>
      </c>
      <c r="BN27" s="262">
        <f>(270/12)*11</f>
        <v>247.5</v>
      </c>
      <c r="BO27" s="262">
        <f>(270/12)*12</f>
        <v>270</v>
      </c>
    </row>
    <row r="28" spans="1:67" ht="22.2" customHeight="1" thickBot="1" x14ac:dyDescent="0.35">
      <c r="A28" s="337" t="s">
        <v>27</v>
      </c>
      <c r="B28" s="258"/>
      <c r="C28" s="338">
        <v>42</v>
      </c>
      <c r="D28" s="181"/>
      <c r="E28" s="341"/>
      <c r="F28" s="342" t="s">
        <v>118</v>
      </c>
      <c r="G28" s="343">
        <f>((INDEX(L28:W28,COUNT(L28:W28))/(COUNT(L28:W28)))*12)</f>
        <v>68.400000000000006</v>
      </c>
      <c r="H28" s="344">
        <f t="array" aca="1" ref="H28" ca="1">(OFFSET(L28,0,MAX((L28:W28&lt;&gt;"")*(COLUMN(L28:W28)))-COLUMN(L28)))</f>
        <v>57</v>
      </c>
      <c r="I28" s="343"/>
      <c r="J28" s="345"/>
      <c r="K28" s="323">
        <v>0</v>
      </c>
      <c r="L28" s="363">
        <v>1</v>
      </c>
      <c r="M28" s="258">
        <v>16</v>
      </c>
      <c r="N28" s="258">
        <v>22</v>
      </c>
      <c r="O28" s="258">
        <v>34</v>
      </c>
      <c r="P28" s="258">
        <v>41</v>
      </c>
      <c r="Q28" s="258">
        <v>45</v>
      </c>
      <c r="R28" s="258">
        <v>50</v>
      </c>
      <c r="S28" s="258">
        <v>55</v>
      </c>
      <c r="T28" s="360">
        <v>57</v>
      </c>
      <c r="U28" s="360">
        <v>57</v>
      </c>
      <c r="V28" s="258"/>
      <c r="W28" s="361"/>
      <c r="X28" s="211"/>
      <c r="Y28" s="279">
        <f t="array" ref="Y28">INDEX($L$4:$W$4,MAX(IF($L28:$W28&lt;&gt;"",COLUMN($L28:$W28)-COLUMN($L$9)+1)))</f>
        <v>43101</v>
      </c>
      <c r="Z28" s="266"/>
      <c r="AA28" s="280">
        <f>L28</f>
        <v>1</v>
      </c>
      <c r="AB28" s="223">
        <f>M28-L28</f>
        <v>15</v>
      </c>
      <c r="AC28" s="222">
        <f>IF(N28="","",(N28-M28))</f>
        <v>6</v>
      </c>
      <c r="AD28" s="222">
        <f t="shared" si="12"/>
        <v>12</v>
      </c>
      <c r="AE28" s="222">
        <f t="shared" si="12"/>
        <v>7</v>
      </c>
      <c r="AF28" s="222">
        <f t="shared" si="12"/>
        <v>4</v>
      </c>
      <c r="AG28" s="222">
        <f t="shared" si="12"/>
        <v>5</v>
      </c>
      <c r="AH28" s="222">
        <f t="shared" si="12"/>
        <v>5</v>
      </c>
      <c r="AI28" s="222">
        <f t="shared" si="12"/>
        <v>2</v>
      </c>
      <c r="AJ28" s="222">
        <f t="shared" si="12"/>
        <v>0</v>
      </c>
      <c r="AK28" s="222" t="str">
        <f t="shared" si="12"/>
        <v/>
      </c>
      <c r="AL28" s="222" t="str">
        <f t="shared" si="12"/>
        <v/>
      </c>
      <c r="AM28" s="17"/>
      <c r="AN28" s="222">
        <f>HLOOKUP(Y28,staggered,25,FALSE)</f>
        <v>0</v>
      </c>
      <c r="AO28" s="224">
        <v>-1</v>
      </c>
      <c r="AP28" s="224" t="e">
        <f>#REF!-AO28</f>
        <v>#REF!</v>
      </c>
      <c r="AQ28" s="223" t="e">
        <f>AB28-#REF!</f>
        <v>#REF!</v>
      </c>
      <c r="AR28" s="224"/>
      <c r="AS28" s="225"/>
      <c r="AT28" s="225"/>
      <c r="AU28" s="224"/>
      <c r="AV28" s="224"/>
      <c r="AW28" s="224"/>
      <c r="AX28" s="224"/>
      <c r="AY28" s="224"/>
      <c r="AZ28" s="224"/>
      <c r="BA28" s="270"/>
      <c r="BC28" s="17"/>
      <c r="BD28" s="224"/>
      <c r="BE28" s="224"/>
      <c r="BF28" s="224"/>
      <c r="BG28" s="225"/>
      <c r="BH28" s="225"/>
      <c r="BI28" s="224"/>
      <c r="BJ28" s="224"/>
      <c r="BK28" s="224"/>
      <c r="BL28" s="224"/>
      <c r="BM28" s="224"/>
      <c r="BN28" s="224"/>
      <c r="BO28" s="224"/>
    </row>
    <row r="29" spans="1:67" ht="22.2" customHeight="1" thickBot="1" x14ac:dyDescent="0.35">
      <c r="A29" s="38" t="s">
        <v>28</v>
      </c>
      <c r="B29" s="39"/>
      <c r="C29" s="184">
        <f>SUM(C27:C28)</f>
        <v>192</v>
      </c>
      <c r="D29" s="180">
        <f t="shared" ref="D29" si="13">SUM(D27+D28)</f>
        <v>300</v>
      </c>
      <c r="E29" s="346">
        <f>SUM(E27+E28)</f>
        <v>250</v>
      </c>
      <c r="F29" s="45"/>
      <c r="G29" s="45">
        <f>SUM(G27+G28)</f>
        <v>306</v>
      </c>
      <c r="H29" s="45">
        <f ca="1">SUM(H27+H28)</f>
        <v>255</v>
      </c>
      <c r="I29" s="45"/>
      <c r="J29" s="185"/>
      <c r="K29" s="339">
        <f>SUM(K27:K28)</f>
        <v>150</v>
      </c>
      <c r="L29" s="45">
        <f t="shared" ref="L29:W29" si="14">IF(L27="","",L27+L28)</f>
        <v>12</v>
      </c>
      <c r="M29" s="45">
        <f t="shared" si="14"/>
        <v>41</v>
      </c>
      <c r="N29" s="45">
        <f t="shared" si="14"/>
        <v>89</v>
      </c>
      <c r="O29" s="45">
        <f t="shared" si="14"/>
        <v>132</v>
      </c>
      <c r="P29" s="45">
        <f t="shared" si="14"/>
        <v>186</v>
      </c>
      <c r="Q29" s="45">
        <f t="shared" si="14"/>
        <v>195</v>
      </c>
      <c r="R29" s="45">
        <f t="shared" si="14"/>
        <v>239</v>
      </c>
      <c r="S29" s="45">
        <f t="shared" si="14"/>
        <v>246</v>
      </c>
      <c r="T29" s="45">
        <f t="shared" si="14"/>
        <v>248</v>
      </c>
      <c r="U29" s="45">
        <f t="shared" si="14"/>
        <v>255</v>
      </c>
      <c r="V29" s="45" t="str">
        <f t="shared" si="14"/>
        <v/>
      </c>
      <c r="W29" s="45" t="str">
        <f t="shared" si="14"/>
        <v/>
      </c>
      <c r="X29" s="212"/>
      <c r="Y29" s="279">
        <f t="array" ref="Y29">INDEX($L$4:$W$4,MAX(IF($L29:$W29&lt;&gt;"",COLUMN($L29:$W29)-COLUMN($L$9)+1)))</f>
        <v>43101</v>
      </c>
      <c r="Z29" s="266"/>
      <c r="AA29" s="280">
        <f>L29</f>
        <v>12</v>
      </c>
      <c r="AB29" s="247">
        <f>M29-L29</f>
        <v>29</v>
      </c>
      <c r="AC29" s="222">
        <f>IF(N29="","",(N29-M29))</f>
        <v>48</v>
      </c>
      <c r="AD29" s="222">
        <f t="shared" si="12"/>
        <v>43</v>
      </c>
      <c r="AE29" s="222">
        <f t="shared" si="12"/>
        <v>54</v>
      </c>
      <c r="AF29" s="222">
        <f t="shared" si="12"/>
        <v>9</v>
      </c>
      <c r="AG29" s="222">
        <f t="shared" si="12"/>
        <v>44</v>
      </c>
      <c r="AH29" s="222">
        <f t="shared" si="12"/>
        <v>7</v>
      </c>
      <c r="AI29" s="222">
        <f t="shared" si="12"/>
        <v>2</v>
      </c>
      <c r="AJ29" s="222">
        <f t="shared" si="12"/>
        <v>7</v>
      </c>
      <c r="AK29" s="222" t="str">
        <f t="shared" si="12"/>
        <v/>
      </c>
      <c r="AL29" s="222" t="str">
        <f t="shared" si="12"/>
        <v/>
      </c>
      <c r="AM29" s="17"/>
      <c r="AN29" s="222">
        <f>HLOOKUP(Y29,staggered,26,FALSE)</f>
        <v>208.33333333333331</v>
      </c>
      <c r="AO29" s="228">
        <v>30.5</v>
      </c>
      <c r="AP29" s="264">
        <f>((VALUE((RIGHT($E$27,5))))/12)</f>
        <v>20.833333333333332</v>
      </c>
      <c r="AQ29" s="264">
        <f>((VALUE((RIGHT($E$27,5))))/12)*2</f>
        <v>41.666666666666664</v>
      </c>
      <c r="AR29" s="264">
        <f>((VALUE((RIGHT($E$27,5))))/12)*3</f>
        <v>62.5</v>
      </c>
      <c r="AS29" s="264">
        <f>((VALUE((RIGHT($E$27,5))))/12)*4</f>
        <v>83.333333333333329</v>
      </c>
      <c r="AT29" s="264">
        <f>((VALUE((RIGHT($E$27,5))))/12)*5</f>
        <v>104.16666666666666</v>
      </c>
      <c r="AU29" s="264">
        <f>((VALUE((RIGHT($E$27,5))))/12)*6</f>
        <v>125</v>
      </c>
      <c r="AV29" s="264">
        <f>((VALUE((RIGHT($E$27,5))))/12)*7</f>
        <v>145.83333333333331</v>
      </c>
      <c r="AW29" s="264">
        <f>((VALUE((RIGHT($E$27,5))))/12)*8</f>
        <v>166.66666666666666</v>
      </c>
      <c r="AX29" s="264">
        <f>((VALUE((RIGHT($E$27,5))))/12)*9</f>
        <v>187.5</v>
      </c>
      <c r="AY29" s="264">
        <f>((VALUE((RIGHT($E$27,5))))/12)*10</f>
        <v>208.33333333333331</v>
      </c>
      <c r="AZ29" s="264">
        <f>((VALUE((RIGHT($E$27,5))))/12)*11</f>
        <v>229.16666666666666</v>
      </c>
      <c r="BA29" s="269">
        <f>((VALUE((RIGHT($E$27,5))))/12)*12</f>
        <v>250</v>
      </c>
      <c r="BC29" s="17"/>
      <c r="BD29" s="262">
        <f>270/12</f>
        <v>22.5</v>
      </c>
      <c r="BE29" s="262">
        <f>(270/12)*2</f>
        <v>45</v>
      </c>
      <c r="BF29" s="262">
        <f>(270/12)*3</f>
        <v>67.5</v>
      </c>
      <c r="BG29" s="262">
        <f>(270/12)*4</f>
        <v>90</v>
      </c>
      <c r="BH29" s="262">
        <f>(270/12)*5</f>
        <v>112.5</v>
      </c>
      <c r="BI29" s="262">
        <f>(270/12)*6</f>
        <v>135</v>
      </c>
      <c r="BJ29" s="262">
        <f>(270/12)*7</f>
        <v>157.5</v>
      </c>
      <c r="BK29" s="262">
        <f>(270/12)*8</f>
        <v>180</v>
      </c>
      <c r="BL29" s="262">
        <f>(270/12)*9</f>
        <v>202.5</v>
      </c>
      <c r="BM29" s="262">
        <f>(270/12)*10</f>
        <v>225</v>
      </c>
      <c r="BN29" s="262">
        <f>(270/12)*11</f>
        <v>247.5</v>
      </c>
      <c r="BO29" s="262">
        <f>(270/12)*12</f>
        <v>270</v>
      </c>
    </row>
    <row r="30" spans="1:67" ht="7.95" customHeight="1" thickBot="1" x14ac:dyDescent="0.3">
      <c r="A30" s="190"/>
      <c r="B30" s="53"/>
      <c r="C30" s="53"/>
      <c r="D30" s="53"/>
      <c r="E30" s="53"/>
      <c r="F30" s="53"/>
      <c r="G30" s="53"/>
      <c r="H30" s="53" t="str">
        <f>IF((SUM(L30:WB30))=0,"",(SUM(L30:WB30)))</f>
        <v/>
      </c>
      <c r="I30" s="53"/>
      <c r="J30" s="53"/>
      <c r="K30" s="54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53"/>
      <c r="Y30" s="279"/>
      <c r="Z30" s="266"/>
      <c r="AA30" s="206"/>
      <c r="AB30" s="206"/>
      <c r="AC30" s="241"/>
      <c r="AD30" s="242"/>
      <c r="AE30" s="242"/>
      <c r="AF30" s="241"/>
      <c r="AG30" s="241"/>
      <c r="AH30" s="241"/>
      <c r="AN30" s="206"/>
      <c r="AS30" s="201"/>
      <c r="AT30" s="201"/>
      <c r="BG30" s="201"/>
      <c r="BH30" s="201"/>
    </row>
    <row r="31" spans="1:67" ht="22.2" customHeight="1" thickBot="1" x14ac:dyDescent="0.35">
      <c r="A31" s="38" t="s">
        <v>29</v>
      </c>
      <c r="B31" s="39"/>
      <c r="C31" s="185">
        <f t="shared" ref="C31:D31" si="15">C25+C29</f>
        <v>987</v>
      </c>
      <c r="D31" s="185">
        <f t="shared" si="15"/>
        <v>1099</v>
      </c>
      <c r="E31" s="40">
        <f>E25+E29</f>
        <v>1043</v>
      </c>
      <c r="F31" s="45"/>
      <c r="G31" s="44">
        <f>G25+G29</f>
        <v>960.4</v>
      </c>
      <c r="H31" s="44">
        <f ca="1">H25+H29</f>
        <v>805</v>
      </c>
      <c r="I31" s="44"/>
      <c r="J31" s="185"/>
      <c r="K31" s="179">
        <f t="shared" ref="K31" si="16">K25+K29</f>
        <v>943</v>
      </c>
      <c r="L31" s="44">
        <f t="shared" ref="L31:W31" si="17">IF(L25="","",L25+L29)</f>
        <v>87</v>
      </c>
      <c r="M31" s="44">
        <f t="shared" si="17"/>
        <v>184</v>
      </c>
      <c r="N31" s="44">
        <f t="shared" si="17"/>
        <v>284</v>
      </c>
      <c r="O31" s="44">
        <f t="shared" si="17"/>
        <v>373</v>
      </c>
      <c r="P31" s="44">
        <f t="shared" si="17"/>
        <v>498</v>
      </c>
      <c r="Q31" s="44">
        <f t="shared" si="17"/>
        <v>531</v>
      </c>
      <c r="R31" s="44">
        <f t="shared" si="17"/>
        <v>626</v>
      </c>
      <c r="S31" s="44">
        <f t="shared" si="17"/>
        <v>697</v>
      </c>
      <c r="T31" s="44">
        <f t="shared" si="17"/>
        <v>731</v>
      </c>
      <c r="U31" s="44">
        <f t="shared" si="17"/>
        <v>805</v>
      </c>
      <c r="V31" s="44" t="str">
        <f t="shared" si="17"/>
        <v/>
      </c>
      <c r="W31" s="44" t="str">
        <f t="shared" si="17"/>
        <v/>
      </c>
      <c r="X31" s="213"/>
      <c r="Y31" s="279">
        <f t="array" ref="Y31">INDEX($L$4:$W$4,MAX(IF($L31:$W31&lt;&gt;"",COLUMN($L31:$W31)-COLUMN($L$9)+1)))</f>
        <v>43101</v>
      </c>
      <c r="Z31" s="266"/>
      <c r="AA31" s="281">
        <f>L31</f>
        <v>87</v>
      </c>
      <c r="AB31" s="247">
        <f>M31-L31</f>
        <v>97</v>
      </c>
      <c r="AC31" s="222">
        <f>IF(N31="","",(N31-M31))</f>
        <v>100</v>
      </c>
      <c r="AD31" s="222">
        <f t="shared" ref="AD31:AL31" si="18">IF(O31="","",(O31-N31))</f>
        <v>89</v>
      </c>
      <c r="AE31" s="222">
        <f>IF(P31="","",(P31-O31))</f>
        <v>125</v>
      </c>
      <c r="AF31" s="222">
        <f>IF(Q31="","",(Q31-P31))</f>
        <v>33</v>
      </c>
      <c r="AG31" s="222">
        <f t="shared" si="18"/>
        <v>95</v>
      </c>
      <c r="AH31" s="222">
        <f t="shared" si="18"/>
        <v>71</v>
      </c>
      <c r="AI31" s="222">
        <f t="shared" si="18"/>
        <v>34</v>
      </c>
      <c r="AJ31" s="222">
        <f t="shared" si="18"/>
        <v>74</v>
      </c>
      <c r="AK31" s="222" t="str">
        <f t="shared" si="18"/>
        <v/>
      </c>
      <c r="AL31" s="222" t="str">
        <f t="shared" si="18"/>
        <v/>
      </c>
      <c r="AM31" s="17"/>
      <c r="AN31" s="227">
        <f>AN25+AN29</f>
        <v>502.49999999999994</v>
      </c>
      <c r="AO31" s="228">
        <v>73.5</v>
      </c>
      <c r="AP31" s="264">
        <f>((VALUE((RIGHT($E$31,5))))/12)</f>
        <v>86.916666666666671</v>
      </c>
      <c r="AQ31" s="264">
        <f>((VALUE((RIGHT($E$31,5))))/12)*2</f>
        <v>173.83333333333334</v>
      </c>
      <c r="AR31" s="264">
        <f>((VALUE((RIGHT($E$31,5))))/12)*3</f>
        <v>260.75</v>
      </c>
      <c r="AS31" s="264">
        <f>((VALUE((RIGHT($E$31,5))))/12)*4</f>
        <v>347.66666666666669</v>
      </c>
      <c r="AT31" s="264">
        <f>((VALUE((RIGHT($E$31,5))))/12)*5</f>
        <v>434.58333333333337</v>
      </c>
      <c r="AU31" s="264">
        <f>((VALUE((RIGHT($E$31,5))))/12)*6</f>
        <v>521.5</v>
      </c>
      <c r="AV31" s="264">
        <f>((VALUE((RIGHT($E$31,5))))/12)*7</f>
        <v>608.41666666666674</v>
      </c>
      <c r="AW31" s="264">
        <f>((VALUE((RIGHT($E$31,5))))/12)*8</f>
        <v>695.33333333333337</v>
      </c>
      <c r="AX31" s="264">
        <f>((VALUE((RIGHT($E$31,5))))/12)*9</f>
        <v>782.25</v>
      </c>
      <c r="AY31" s="264">
        <f>((VALUE((RIGHT($E$31,5))))/12)*10</f>
        <v>869.16666666666674</v>
      </c>
      <c r="AZ31" s="264">
        <f>((VALUE((RIGHT($E$31,5))))/12)*11</f>
        <v>956.08333333333337</v>
      </c>
      <c r="BA31" s="264">
        <f>((VALUE((RIGHT($E$31,5))))/12)*12</f>
        <v>1043</v>
      </c>
      <c r="BC31" s="17"/>
      <c r="BD31" s="262">
        <f>1000/12</f>
        <v>83.333333333333329</v>
      </c>
      <c r="BE31" s="262">
        <f>(1000/12)*2</f>
        <v>166.66666666666666</v>
      </c>
      <c r="BF31" s="262">
        <f>(1000/12)*3</f>
        <v>250</v>
      </c>
      <c r="BG31" s="262">
        <f>(1000/12)*4</f>
        <v>333.33333333333331</v>
      </c>
      <c r="BH31" s="262">
        <f>(1000/12)*5</f>
        <v>416.66666666666663</v>
      </c>
      <c r="BI31" s="262">
        <f>(1000/12)*6</f>
        <v>500</v>
      </c>
      <c r="BJ31" s="262">
        <f>(1000/12)*7</f>
        <v>583.33333333333326</v>
      </c>
      <c r="BK31" s="262">
        <f>(1000/12)*8</f>
        <v>666.66666666666663</v>
      </c>
      <c r="BL31" s="262">
        <f>(1000/12)*9</f>
        <v>750</v>
      </c>
      <c r="BM31" s="262">
        <f>(1000/12)*10</f>
        <v>833.33333333333326</v>
      </c>
      <c r="BN31" s="262">
        <f>(1000/12)*11</f>
        <v>916.66666666666663</v>
      </c>
      <c r="BO31" s="262">
        <f>(1000/12)*12</f>
        <v>1000</v>
      </c>
    </row>
    <row r="32" spans="1:67" ht="22.2" customHeight="1" thickBot="1" x14ac:dyDescent="0.35">
      <c r="A32" s="5" t="s">
        <v>30</v>
      </c>
      <c r="B32" s="6"/>
      <c r="C32" s="6"/>
      <c r="D32" s="6"/>
      <c r="E32" s="6"/>
      <c r="F32" s="6"/>
      <c r="G32" s="6"/>
      <c r="H32" s="6" t="str">
        <f>IF((SUM(L32:WB32))=0,"",(SUM(L32:WB32)))</f>
        <v/>
      </c>
      <c r="I32" s="6"/>
      <c r="J32" s="6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210"/>
      <c r="Y32" s="279"/>
      <c r="Z32" s="266"/>
      <c r="AA32" s="206"/>
      <c r="AB32" s="206"/>
      <c r="AC32" s="241"/>
      <c r="AD32" s="242"/>
      <c r="AE32" s="242"/>
      <c r="AF32" s="241"/>
      <c r="AG32" s="241"/>
      <c r="AH32" s="241"/>
      <c r="AN32" s="206"/>
      <c r="AS32" s="201"/>
      <c r="AT32" s="201"/>
      <c r="BG32" s="201"/>
      <c r="BH32" s="201"/>
    </row>
    <row r="33" spans="1:67" ht="27.75" customHeight="1" x14ac:dyDescent="0.25">
      <c r="A33" s="347" t="s">
        <v>31</v>
      </c>
      <c r="B33" s="17"/>
      <c r="C33" s="17"/>
      <c r="D33" s="17"/>
      <c r="E33" s="17"/>
      <c r="F33" s="17"/>
      <c r="G33" s="17"/>
      <c r="H33" s="17" t="str">
        <f>IF((SUM(L33:WB33))=0,"",(SUM(L33:WB33)))</f>
        <v/>
      </c>
      <c r="J33" s="17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7"/>
      <c r="Y33" s="279"/>
      <c r="Z33" s="266"/>
      <c r="AA33" s="206"/>
      <c r="AB33" s="206"/>
      <c r="AC33" s="241"/>
      <c r="AD33" s="242"/>
      <c r="AE33" s="242"/>
      <c r="AF33" s="241"/>
      <c r="AG33" s="241"/>
      <c r="AH33" s="241"/>
      <c r="AN33" s="206"/>
      <c r="AS33" s="201"/>
      <c r="AT33" s="201"/>
      <c r="BG33" s="201"/>
      <c r="BH33" s="201"/>
    </row>
    <row r="34" spans="1:67" ht="22.2" customHeight="1" x14ac:dyDescent="0.25">
      <c r="A34" s="197" t="s">
        <v>32</v>
      </c>
      <c r="B34" s="103"/>
      <c r="C34" s="187">
        <v>57</v>
      </c>
      <c r="D34" s="349">
        <v>54</v>
      </c>
      <c r="E34" s="351">
        <v>86</v>
      </c>
      <c r="F34" s="255" t="s">
        <v>111</v>
      </c>
      <c r="G34" s="101">
        <f>((INDEX(L34:W34,COUNT(L34:W34))/(COUNT(L34:W34)))*12)</f>
        <v>58.800000000000004</v>
      </c>
      <c r="H34" s="260">
        <f t="array" aca="1" ref="H34" ca="1">(OFFSET(L34,0,MAX((L34:W34&lt;&gt;"")*(COLUMN(L34:W34)))-COLUMN(L34)))</f>
        <v>49</v>
      </c>
      <c r="I34" s="326">
        <f ca="1">IF(H34="","",IF(H34&gt;=AN34,1,IF(AND(H34&lt;AN34,H34&gt;=BC34),2,IF(H34&lt;BC34,3))))</f>
        <v>3</v>
      </c>
      <c r="J34" s="324"/>
      <c r="K34" s="181">
        <v>57</v>
      </c>
      <c r="L34" s="191">
        <v>1</v>
      </c>
      <c r="M34" s="103">
        <v>2</v>
      </c>
      <c r="N34" s="103">
        <v>6</v>
      </c>
      <c r="O34" s="103">
        <v>17</v>
      </c>
      <c r="P34" s="103">
        <v>19</v>
      </c>
      <c r="Q34" s="103">
        <v>25</v>
      </c>
      <c r="R34" s="103">
        <v>30</v>
      </c>
      <c r="S34" s="103">
        <v>39</v>
      </c>
      <c r="T34" s="103">
        <v>44</v>
      </c>
      <c r="U34" s="103">
        <v>49</v>
      </c>
      <c r="V34" s="103"/>
      <c r="W34" s="292"/>
      <c r="X34" s="259" t="s">
        <v>110</v>
      </c>
      <c r="Y34" s="279">
        <f t="array" ref="Y34">INDEX($L$4:$W$4,MAX(IF($L34:$W34&lt;&gt;"",COLUMN($L34:$W34)-COLUMN($L$9)+1)))</f>
        <v>43101</v>
      </c>
      <c r="Z34" s="266"/>
      <c r="AA34" s="273">
        <f>L34</f>
        <v>1</v>
      </c>
      <c r="AB34" s="222">
        <f>M34-L34</f>
        <v>1</v>
      </c>
      <c r="AC34" s="222">
        <f>IF(N34="","",(N34-M34))</f>
        <v>4</v>
      </c>
      <c r="AD34" s="222">
        <f t="shared" ref="AD34:AL36" si="19">IF(O34="","",(O34-N34))</f>
        <v>11</v>
      </c>
      <c r="AE34" s="222">
        <f t="shared" si="19"/>
        <v>2</v>
      </c>
      <c r="AF34" s="222">
        <f t="shared" si="19"/>
        <v>6</v>
      </c>
      <c r="AG34" s="222">
        <f t="shared" si="19"/>
        <v>5</v>
      </c>
      <c r="AH34" s="222">
        <f t="shared" si="19"/>
        <v>9</v>
      </c>
      <c r="AI34" s="222">
        <f t="shared" si="19"/>
        <v>5</v>
      </c>
      <c r="AJ34" s="222">
        <f t="shared" si="19"/>
        <v>5</v>
      </c>
      <c r="AK34" s="222" t="str">
        <f t="shared" si="19"/>
        <v/>
      </c>
      <c r="AL34" s="222" t="str">
        <f t="shared" si="19"/>
        <v/>
      </c>
      <c r="AM34" s="17"/>
      <c r="AN34" s="222">
        <f>HLOOKUP(Y34,staggered,31,FALSE)</f>
        <v>71.666666666666671</v>
      </c>
      <c r="AO34" s="218"/>
      <c r="AP34" s="264">
        <f>((VALUE((RIGHT(E34,5))))/12)</f>
        <v>7.166666666666667</v>
      </c>
      <c r="AQ34" s="264">
        <f>((VALUE((RIGHT(E34,5))))/12)*2</f>
        <v>14.333333333333334</v>
      </c>
      <c r="AR34" s="264">
        <f>((VALUE((RIGHT(E34,5))))/12)*3</f>
        <v>21.5</v>
      </c>
      <c r="AS34" s="264">
        <f>((VALUE((RIGHT(E34,5))))/12)*4</f>
        <v>28.666666666666668</v>
      </c>
      <c r="AT34" s="264">
        <f>((VALUE((RIGHT(E34,5))))/12)*5</f>
        <v>35.833333333333336</v>
      </c>
      <c r="AU34" s="264">
        <f>((VALUE((RIGHT(E34,5))))/12)*6</f>
        <v>43</v>
      </c>
      <c r="AV34" s="264">
        <f>((VALUE((RIGHT(E34,5))))/12)*7</f>
        <v>50.166666666666671</v>
      </c>
      <c r="AW34" s="264">
        <f>((VALUE((RIGHT(E34,5))))/12)*8</f>
        <v>57.333333333333336</v>
      </c>
      <c r="AX34" s="264">
        <f>((VALUE((RIGHT(E34,5))))/12)*9</f>
        <v>64.5</v>
      </c>
      <c r="AY34" s="264">
        <f>((VALUE((RIGHT(E34,5))))/12)*10</f>
        <v>71.666666666666671</v>
      </c>
      <c r="AZ34" s="264">
        <f>((VALUE((RIGHT(E34,5))))/12)*11</f>
        <v>78.833333333333343</v>
      </c>
      <c r="BA34" s="269">
        <f>((VALUE((RIGHT(E34,5))))/12)*12</f>
        <v>86</v>
      </c>
      <c r="BC34" s="273">
        <f>HLOOKUP($Y$9,amber,31,FALSE)</f>
        <v>58.333333333333329</v>
      </c>
      <c r="BD34" s="262">
        <f>70/12</f>
        <v>5.833333333333333</v>
      </c>
      <c r="BE34" s="262">
        <f>(70/12)*2</f>
        <v>11.666666666666666</v>
      </c>
      <c r="BF34" s="262">
        <f>(70/12)*3</f>
        <v>17.5</v>
      </c>
      <c r="BG34" s="262">
        <f>(70/12)*4</f>
        <v>23.333333333333332</v>
      </c>
      <c r="BH34" s="262">
        <f>(70/12)*5</f>
        <v>29.166666666666664</v>
      </c>
      <c r="BI34" s="262">
        <f>(70/12)*6</f>
        <v>35</v>
      </c>
      <c r="BJ34" s="262">
        <f>(70/12)*7</f>
        <v>40.833333333333329</v>
      </c>
      <c r="BK34" s="262">
        <f>(70/12)*8</f>
        <v>46.666666666666664</v>
      </c>
      <c r="BL34" s="262">
        <f>(70/12)*9</f>
        <v>52.5</v>
      </c>
      <c r="BM34" s="262">
        <f>(70/12)*10</f>
        <v>58.333333333333329</v>
      </c>
      <c r="BN34" s="262">
        <f>(70/12)*11</f>
        <v>64.166666666666657</v>
      </c>
      <c r="BO34" s="262">
        <f>(70/12)*12</f>
        <v>70</v>
      </c>
    </row>
    <row r="35" spans="1:67" ht="22.2" customHeight="1" x14ac:dyDescent="0.25">
      <c r="A35" s="197" t="s">
        <v>33</v>
      </c>
      <c r="B35" s="103"/>
      <c r="C35" s="187">
        <v>33</v>
      </c>
      <c r="D35" s="349">
        <v>68</v>
      </c>
      <c r="E35" s="351">
        <v>49</v>
      </c>
      <c r="F35" s="255" t="s">
        <v>111</v>
      </c>
      <c r="G35" s="101">
        <f t="shared" ref="G35" si="20">((INDEX(L35:W35,COUNT(L35:W35))/(COUNT(L35:W35)))*12)</f>
        <v>46.8</v>
      </c>
      <c r="H35" s="260">
        <f t="array" aca="1" ref="H35" ca="1">(OFFSET(L35,0,MAX((L35:W35&lt;&gt;"")*(COLUMN(L35:W35)))-COLUMN(L35)))</f>
        <v>39</v>
      </c>
      <c r="I35" s="326">
        <f ca="1">IF(H35="","",IF(H35&gt;=AN35,1,IF(AND(H35&lt;AN35,H35&gt;=BC35),2,IF(H35&lt;BC35,3))))</f>
        <v>2</v>
      </c>
      <c r="J35" s="324"/>
      <c r="K35" s="181">
        <v>33</v>
      </c>
      <c r="L35" s="191">
        <v>2</v>
      </c>
      <c r="M35" s="103">
        <v>4</v>
      </c>
      <c r="N35" s="103">
        <v>8</v>
      </c>
      <c r="O35" s="103">
        <v>19</v>
      </c>
      <c r="P35" s="103">
        <v>23</v>
      </c>
      <c r="Q35" s="103">
        <v>25</v>
      </c>
      <c r="R35" s="103">
        <v>29</v>
      </c>
      <c r="S35" s="103">
        <v>32</v>
      </c>
      <c r="T35" s="103">
        <v>33</v>
      </c>
      <c r="U35" s="103">
        <v>39</v>
      </c>
      <c r="V35" s="103"/>
      <c r="W35" s="292"/>
      <c r="X35" s="259" t="s">
        <v>110</v>
      </c>
      <c r="Y35" s="279">
        <f t="array" ref="Y35">INDEX($L$4:$W$4,MAX(IF($L35:$W35&lt;&gt;"",COLUMN($L35:$W35)-COLUMN($L$9)+1)))</f>
        <v>43101</v>
      </c>
      <c r="Z35" s="266"/>
      <c r="AA35" s="273">
        <f>L35</f>
        <v>2</v>
      </c>
      <c r="AB35" s="222">
        <f>M35-L35</f>
        <v>2</v>
      </c>
      <c r="AC35" s="222">
        <f t="shared" ref="AC35:AC36" si="21">IF(N35="","",(N35-M35))</f>
        <v>4</v>
      </c>
      <c r="AD35" s="222">
        <f t="shared" si="19"/>
        <v>11</v>
      </c>
      <c r="AE35" s="222">
        <f t="shared" si="19"/>
        <v>4</v>
      </c>
      <c r="AF35" s="222">
        <f t="shared" si="19"/>
        <v>2</v>
      </c>
      <c r="AG35" s="222">
        <f t="shared" si="19"/>
        <v>4</v>
      </c>
      <c r="AH35" s="222">
        <f t="shared" si="19"/>
        <v>3</v>
      </c>
      <c r="AI35" s="222">
        <f t="shared" si="19"/>
        <v>1</v>
      </c>
      <c r="AJ35" s="222">
        <f t="shared" si="19"/>
        <v>6</v>
      </c>
      <c r="AK35" s="222" t="str">
        <f t="shared" si="19"/>
        <v/>
      </c>
      <c r="AL35" s="222" t="str">
        <f t="shared" si="19"/>
        <v/>
      </c>
      <c r="AM35" s="17"/>
      <c r="AN35" s="222">
        <f>HLOOKUP(Y35,staggered,32,FALSE)</f>
        <v>40.833333333333329</v>
      </c>
      <c r="AO35" s="218"/>
      <c r="AP35" s="264">
        <f t="shared" ref="AP35:AP36" si="22">((VALUE((RIGHT(E35,5))))/12)</f>
        <v>4.083333333333333</v>
      </c>
      <c r="AQ35" s="264">
        <f t="shared" ref="AQ35:AQ36" si="23">((VALUE((RIGHT(E35,5))))/12)*2</f>
        <v>8.1666666666666661</v>
      </c>
      <c r="AR35" s="264">
        <f t="shared" ref="AR35:AR36" si="24">((VALUE((RIGHT(E35,5))))/12)*3</f>
        <v>12.25</v>
      </c>
      <c r="AS35" s="264">
        <f t="shared" ref="AS35:AS36" si="25">((VALUE((RIGHT(E35,5))))/12)*4</f>
        <v>16.333333333333332</v>
      </c>
      <c r="AT35" s="264">
        <f t="shared" ref="AT35:AT36" si="26">((VALUE((RIGHT(E35,5))))/12)*5</f>
        <v>20.416666666666664</v>
      </c>
      <c r="AU35" s="264">
        <f t="shared" ref="AU35:AU36" si="27">((VALUE((RIGHT(E35,5))))/12)*6</f>
        <v>24.5</v>
      </c>
      <c r="AV35" s="264">
        <f t="shared" ref="AV35:AV36" si="28">((VALUE((RIGHT(E35,5))))/12)*7</f>
        <v>28.583333333333332</v>
      </c>
      <c r="AW35" s="264">
        <f t="shared" ref="AW35:AW36" si="29">((VALUE((RIGHT(E35,5))))/12)*8</f>
        <v>32.666666666666664</v>
      </c>
      <c r="AX35" s="264">
        <f t="shared" ref="AX35:AX36" si="30">((VALUE((RIGHT(E35,5))))/12)*9</f>
        <v>36.75</v>
      </c>
      <c r="AY35" s="264">
        <f t="shared" ref="AY35:AY36" si="31">((VALUE((RIGHT(E35,5))))/12)*10</f>
        <v>40.833333333333329</v>
      </c>
      <c r="AZ35" s="264">
        <f t="shared" ref="AZ35:AZ36" si="32">((VALUE((RIGHT(E35,5))))/12)*11</f>
        <v>44.916666666666664</v>
      </c>
      <c r="BA35" s="269">
        <f t="shared" ref="BA35:BA36" si="33">((VALUE((RIGHT(E35,5))))/12)*12</f>
        <v>49</v>
      </c>
      <c r="BC35" s="273">
        <f>HLOOKUP($Y$9,amber,32,FALSE)</f>
        <v>25</v>
      </c>
      <c r="BD35" s="262">
        <f>30/12</f>
        <v>2.5</v>
      </c>
      <c r="BE35" s="262">
        <f>(30/12)*2</f>
        <v>5</v>
      </c>
      <c r="BF35" s="262">
        <f>(30/12)*3</f>
        <v>7.5</v>
      </c>
      <c r="BG35" s="262">
        <f>(30/12)*4</f>
        <v>10</v>
      </c>
      <c r="BH35" s="262">
        <f>(30/12)*5</f>
        <v>12.5</v>
      </c>
      <c r="BI35" s="262">
        <f>(30/12)*6</f>
        <v>15</v>
      </c>
      <c r="BJ35" s="262">
        <f>(30/12)*7</f>
        <v>17.5</v>
      </c>
      <c r="BK35" s="262">
        <f>(30/12)*8</f>
        <v>20</v>
      </c>
      <c r="BL35" s="262">
        <f>(30/12)*9</f>
        <v>22.5</v>
      </c>
      <c r="BM35" s="262">
        <f>(30/12)*10</f>
        <v>25</v>
      </c>
      <c r="BN35" s="262">
        <f>(30/12)*11</f>
        <v>27.5</v>
      </c>
      <c r="BO35" s="262">
        <f>(30/12)*12</f>
        <v>30</v>
      </c>
    </row>
    <row r="36" spans="1:67" ht="22.2" customHeight="1" thickBot="1" x14ac:dyDescent="0.3">
      <c r="A36" s="197" t="s">
        <v>34</v>
      </c>
      <c r="B36" s="103"/>
      <c r="C36" s="187">
        <v>170</v>
      </c>
      <c r="D36" s="349">
        <v>227</v>
      </c>
      <c r="E36" s="352">
        <v>65</v>
      </c>
      <c r="F36" s="342" t="s">
        <v>111</v>
      </c>
      <c r="G36" s="343">
        <f>((INDEX(L36:W36,COUNT(L36:W36))/(COUNT(L36:W36)))*12)</f>
        <v>115.19999999999999</v>
      </c>
      <c r="H36" s="344">
        <f t="array" aca="1" ref="H36" ca="1">(OFFSET(L36,0,MAX((L36:W36&lt;&gt;"")*(COLUMN(L36:W36)))-COLUMN(L36)))</f>
        <v>96</v>
      </c>
      <c r="I36" s="353">
        <f ca="1">IF(H36="","",IF(H36&gt;=AN36,1,IF(AND(H36&lt;AN36,H36&gt;=BC36),2,IF(H36&lt;BC36,3))))</f>
        <v>1</v>
      </c>
      <c r="J36" s="345"/>
      <c r="K36" s="181">
        <v>170</v>
      </c>
      <c r="L36" s="363">
        <v>10</v>
      </c>
      <c r="M36" s="258">
        <v>21</v>
      </c>
      <c r="N36" s="258">
        <v>28</v>
      </c>
      <c r="O36" s="258">
        <v>44</v>
      </c>
      <c r="P36" s="258">
        <v>59</v>
      </c>
      <c r="Q36" s="258">
        <v>69</v>
      </c>
      <c r="R36" s="258">
        <v>77</v>
      </c>
      <c r="S36" s="258">
        <v>83</v>
      </c>
      <c r="T36" s="258">
        <v>89</v>
      </c>
      <c r="U36" s="258">
        <v>96</v>
      </c>
      <c r="V36" s="258"/>
      <c r="W36" s="361"/>
      <c r="X36" s="259" t="s">
        <v>110</v>
      </c>
      <c r="Y36" s="279">
        <f t="array" ref="Y36">INDEX($L$4:$W$4,MAX(IF($L36:$W36&lt;&gt;"",COLUMN($L36:$W36)-COLUMN($L$9)+1)))</f>
        <v>43101</v>
      </c>
      <c r="Z36" s="266"/>
      <c r="AA36" s="273">
        <f>L36</f>
        <v>10</v>
      </c>
      <c r="AB36" s="222">
        <f>M36-L36</f>
        <v>11</v>
      </c>
      <c r="AC36" s="222">
        <f t="shared" si="21"/>
        <v>7</v>
      </c>
      <c r="AD36" s="222">
        <f t="shared" si="19"/>
        <v>16</v>
      </c>
      <c r="AE36" s="222">
        <f t="shared" si="19"/>
        <v>15</v>
      </c>
      <c r="AF36" s="222">
        <f t="shared" si="19"/>
        <v>10</v>
      </c>
      <c r="AG36" s="222">
        <f t="shared" si="19"/>
        <v>8</v>
      </c>
      <c r="AH36" s="222">
        <f t="shared" si="19"/>
        <v>6</v>
      </c>
      <c r="AI36" s="222">
        <f t="shared" si="19"/>
        <v>6</v>
      </c>
      <c r="AJ36" s="222">
        <f t="shared" si="19"/>
        <v>7</v>
      </c>
      <c r="AK36" s="222" t="str">
        <f t="shared" si="19"/>
        <v/>
      </c>
      <c r="AL36" s="222" t="str">
        <f t="shared" si="19"/>
        <v/>
      </c>
      <c r="AM36" s="17"/>
      <c r="AN36" s="222">
        <f>HLOOKUP(Y36,staggered,33,FALSE)</f>
        <v>54.166666666666671</v>
      </c>
      <c r="AO36" s="218"/>
      <c r="AP36" s="264">
        <f t="shared" si="22"/>
        <v>5.416666666666667</v>
      </c>
      <c r="AQ36" s="264">
        <f t="shared" si="23"/>
        <v>10.833333333333334</v>
      </c>
      <c r="AR36" s="264">
        <f t="shared" si="24"/>
        <v>16.25</v>
      </c>
      <c r="AS36" s="264">
        <f t="shared" si="25"/>
        <v>21.666666666666668</v>
      </c>
      <c r="AT36" s="264">
        <f t="shared" si="26"/>
        <v>27.083333333333336</v>
      </c>
      <c r="AU36" s="264">
        <f t="shared" si="27"/>
        <v>32.5</v>
      </c>
      <c r="AV36" s="264">
        <f t="shared" si="28"/>
        <v>37.916666666666671</v>
      </c>
      <c r="AW36" s="264">
        <f t="shared" si="29"/>
        <v>43.333333333333336</v>
      </c>
      <c r="AX36" s="264">
        <f t="shared" si="30"/>
        <v>48.75</v>
      </c>
      <c r="AY36" s="264">
        <f t="shared" si="31"/>
        <v>54.166666666666671</v>
      </c>
      <c r="AZ36" s="264">
        <f t="shared" si="32"/>
        <v>59.583333333333336</v>
      </c>
      <c r="BA36" s="269">
        <f t="shared" si="33"/>
        <v>65</v>
      </c>
      <c r="BC36" s="273">
        <f>HLOOKUP($Y$9,amber,33,FALSE)</f>
        <v>33.333333333333336</v>
      </c>
      <c r="BD36" s="262">
        <f>40/12</f>
        <v>3.3333333333333335</v>
      </c>
      <c r="BE36" s="262">
        <f>(40/12)*2</f>
        <v>6.666666666666667</v>
      </c>
      <c r="BF36" s="262">
        <f>(40/12)*3</f>
        <v>10</v>
      </c>
      <c r="BG36" s="262">
        <f>(40/12)*4</f>
        <v>13.333333333333334</v>
      </c>
      <c r="BH36" s="262">
        <f>(40/12)*5</f>
        <v>16.666666666666668</v>
      </c>
      <c r="BI36" s="262">
        <f>(40/12)*6</f>
        <v>20</v>
      </c>
      <c r="BJ36" s="262">
        <f>(40/12)*7</f>
        <v>23.333333333333336</v>
      </c>
      <c r="BK36" s="262">
        <f>(40/12)*8</f>
        <v>26.666666666666668</v>
      </c>
      <c r="BL36" s="262">
        <f>(40/12)*9</f>
        <v>30</v>
      </c>
      <c r="BM36" s="262">
        <f>(40/12)*10</f>
        <v>33.333333333333336</v>
      </c>
      <c r="BN36" s="262">
        <f>(40/12)*11</f>
        <v>36.666666666666671</v>
      </c>
      <c r="BO36" s="262">
        <f>(40/12)*12</f>
        <v>40</v>
      </c>
    </row>
    <row r="37" spans="1:67" ht="6" customHeight="1" x14ac:dyDescent="0.25">
      <c r="A37" s="198"/>
      <c r="B37" s="17"/>
      <c r="C37" s="17"/>
      <c r="D37" s="17"/>
      <c r="E37" s="17"/>
      <c r="F37" s="17"/>
      <c r="G37" s="17"/>
      <c r="H37" s="17" t="str">
        <f>IF((SUM(L37:WB37))=0,"",(SUM(L37:WB37)))</f>
        <v/>
      </c>
      <c r="J37" s="17"/>
      <c r="K37" s="1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8"/>
      <c r="X37" s="17"/>
      <c r="Y37" s="279"/>
      <c r="Z37" s="266"/>
      <c r="AA37" s="206"/>
      <c r="AB37" s="206"/>
      <c r="AC37" s="241"/>
      <c r="AD37" s="242"/>
      <c r="AE37" s="242"/>
      <c r="AF37" s="241"/>
      <c r="AG37" s="241"/>
      <c r="AH37" s="241"/>
      <c r="AN37" s="206"/>
      <c r="AS37" s="201"/>
      <c r="AT37" s="201"/>
      <c r="BG37" s="201"/>
      <c r="BH37" s="201"/>
    </row>
    <row r="38" spans="1:67" ht="13.8" x14ac:dyDescent="0.25">
      <c r="A38" s="316" t="s">
        <v>35</v>
      </c>
      <c r="B38" s="17"/>
      <c r="C38" s="17"/>
      <c r="D38" s="17"/>
      <c r="E38" s="17"/>
      <c r="F38" s="17"/>
      <c r="G38" s="17"/>
      <c r="H38" s="17" t="str">
        <f>IF((SUM(L38:WB38))=0,"",(SUM(L38:WB38)))</f>
        <v/>
      </c>
      <c r="J38" s="17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8"/>
      <c r="X38" s="17"/>
      <c r="Y38" s="279"/>
      <c r="Z38" s="266"/>
      <c r="AA38" s="206"/>
      <c r="AB38" s="206"/>
      <c r="AC38" s="241"/>
      <c r="AD38" s="242"/>
      <c r="AE38" s="242"/>
      <c r="AF38" s="241"/>
      <c r="AG38" s="241"/>
      <c r="AH38" s="241"/>
      <c r="AN38" s="206"/>
      <c r="AS38" s="201"/>
      <c r="AT38" s="201"/>
      <c r="BG38" s="201"/>
      <c r="BH38" s="201"/>
    </row>
    <row r="39" spans="1:67" s="59" customFormat="1" ht="22.2" customHeight="1" x14ac:dyDescent="0.25">
      <c r="A39" s="302" t="s">
        <v>147</v>
      </c>
      <c r="B39" s="103"/>
      <c r="C39" s="187">
        <v>40</v>
      </c>
      <c r="D39" s="349"/>
      <c r="E39" s="325"/>
      <c r="F39" s="255"/>
      <c r="G39" s="101">
        <f t="shared" ref="G39:G41" si="34">((INDEX(L39:W39,COUNT(L39:W39))/(COUNT(L39:W39)))*12)</f>
        <v>42</v>
      </c>
      <c r="H39" s="260">
        <f t="array" aca="1" ref="H39" ca="1">(OFFSET(L39,0,MAX((L39:W39&lt;&gt;"")*(COLUMN(L39:W39)))-COLUMN(L39)))</f>
        <v>35</v>
      </c>
      <c r="I39" s="255"/>
      <c r="J39" s="324"/>
      <c r="K39" s="181">
        <v>40</v>
      </c>
      <c r="L39" s="191">
        <v>1</v>
      </c>
      <c r="M39" s="103">
        <v>2</v>
      </c>
      <c r="N39" s="103">
        <v>7</v>
      </c>
      <c r="O39" s="103">
        <v>17</v>
      </c>
      <c r="P39" s="103">
        <v>21</v>
      </c>
      <c r="Q39" s="103">
        <v>24</v>
      </c>
      <c r="R39" s="103">
        <v>25</v>
      </c>
      <c r="S39" s="103">
        <v>27</v>
      </c>
      <c r="T39" s="103">
        <v>30</v>
      </c>
      <c r="U39" s="103">
        <v>35</v>
      </c>
      <c r="V39" s="103"/>
      <c r="W39" s="292"/>
      <c r="X39" s="211"/>
      <c r="Y39" s="279">
        <f t="array" ref="Y39">INDEX($L$4:$W$4,MAX(IF($L39:$W39&lt;&gt;"",COLUMN($L39:$W39)-COLUMN($L$9)+1)))</f>
        <v>43101</v>
      </c>
      <c r="Z39" s="266"/>
      <c r="AA39" s="273">
        <f>L39</f>
        <v>1</v>
      </c>
      <c r="AB39" s="222">
        <f>M39-L39</f>
        <v>1</v>
      </c>
      <c r="AC39" s="222">
        <f t="shared" ref="AC39:AL42" si="35">IF(N39="","",(N39-M39))</f>
        <v>5</v>
      </c>
      <c r="AD39" s="222">
        <f t="shared" si="35"/>
        <v>10</v>
      </c>
      <c r="AE39" s="222">
        <f t="shared" si="35"/>
        <v>4</v>
      </c>
      <c r="AF39" s="222">
        <f t="shared" si="35"/>
        <v>3</v>
      </c>
      <c r="AG39" s="222">
        <f t="shared" si="35"/>
        <v>1</v>
      </c>
      <c r="AH39" s="222">
        <f>IF(S39="","",(S39-R39))</f>
        <v>2</v>
      </c>
      <c r="AI39" s="222">
        <f>IF(T39="","",(T39-S39))</f>
        <v>3</v>
      </c>
      <c r="AJ39" s="222">
        <f>IF(U39="","",(U39-T39))</f>
        <v>5</v>
      </c>
      <c r="AK39" s="222" t="e">
        <f>IF(#REF!="","",(#REF!-U39))</f>
        <v>#REF!</v>
      </c>
      <c r="AL39" s="222" t="str">
        <f>IF(W39="","",(W39-#REF!))</f>
        <v/>
      </c>
      <c r="AM39" s="17"/>
      <c r="AN39" s="222"/>
      <c r="AO39" s="218">
        <v>1.5</v>
      </c>
      <c r="AP39" s="218" t="e">
        <f>#REF!-AO39</f>
        <v>#REF!</v>
      </c>
      <c r="AQ39" s="218" t="e">
        <f>AB39-#REF!</f>
        <v>#REF!</v>
      </c>
      <c r="AR39" s="218"/>
      <c r="AS39" s="220"/>
      <c r="AT39" s="220"/>
      <c r="AU39" s="218"/>
      <c r="AV39" s="218"/>
      <c r="AW39" s="218"/>
      <c r="AX39" s="218"/>
      <c r="AY39" s="218"/>
      <c r="AZ39" s="218"/>
      <c r="BA39" s="34"/>
      <c r="BB39" s="239"/>
      <c r="BC39" s="17"/>
      <c r="BD39" s="218" t="e">
        <f>#REF!-#REF!</f>
        <v>#REF!</v>
      </c>
      <c r="BE39" s="218" t="e">
        <f>AQ39-#REF!</f>
        <v>#REF!</v>
      </c>
      <c r="BF39" s="218"/>
      <c r="BG39" s="220"/>
      <c r="BH39" s="220"/>
      <c r="BI39" s="218"/>
      <c r="BJ39" s="218"/>
      <c r="BK39" s="218"/>
      <c r="BL39" s="218"/>
      <c r="BM39" s="218"/>
      <c r="BN39" s="218"/>
      <c r="BO39" s="218"/>
    </row>
    <row r="40" spans="1:67" ht="27.6" x14ac:dyDescent="0.25">
      <c r="A40" s="302" t="s">
        <v>146</v>
      </c>
      <c r="B40" s="103"/>
      <c r="C40" s="187">
        <v>81</v>
      </c>
      <c r="D40" s="349"/>
      <c r="E40" s="325"/>
      <c r="F40" s="255"/>
      <c r="G40" s="101">
        <f t="shared" si="34"/>
        <v>64.800000000000011</v>
      </c>
      <c r="H40" s="260">
        <f t="array" aca="1" ref="H40" ca="1">(OFFSET(L40,0,MAX((L40:W40&lt;&gt;"")*(COLUMN(L40:W40)))-COLUMN(L40)))</f>
        <v>54</v>
      </c>
      <c r="I40" s="255"/>
      <c r="J40" s="324"/>
      <c r="K40" s="181">
        <v>81</v>
      </c>
      <c r="L40" s="191">
        <v>6</v>
      </c>
      <c r="M40" s="103">
        <v>10</v>
      </c>
      <c r="N40" s="103">
        <v>16</v>
      </c>
      <c r="O40" s="103">
        <v>30</v>
      </c>
      <c r="P40" s="103">
        <v>34</v>
      </c>
      <c r="Q40" s="103">
        <v>36</v>
      </c>
      <c r="R40" s="103">
        <v>41</v>
      </c>
      <c r="S40" s="103">
        <v>51</v>
      </c>
      <c r="T40" s="103">
        <v>54</v>
      </c>
      <c r="U40" s="103">
        <v>54</v>
      </c>
      <c r="V40" s="103"/>
      <c r="W40" s="292"/>
      <c r="X40" s="211"/>
      <c r="Y40" s="279">
        <f t="array" ref="Y40">INDEX($L$4:$W$4,MAX(IF($L40:$W40&lt;&gt;"",COLUMN($L40:$W40)-COLUMN($L$9)+1)))</f>
        <v>43101</v>
      </c>
      <c r="Z40" s="266"/>
      <c r="AA40" s="273">
        <f>L40</f>
        <v>6</v>
      </c>
      <c r="AB40" s="222">
        <f>M40-L40</f>
        <v>4</v>
      </c>
      <c r="AC40" s="222">
        <f t="shared" si="35"/>
        <v>6</v>
      </c>
      <c r="AD40" s="222">
        <f t="shared" si="35"/>
        <v>14</v>
      </c>
      <c r="AE40" s="222">
        <f t="shared" si="35"/>
        <v>4</v>
      </c>
      <c r="AF40" s="222">
        <f t="shared" si="35"/>
        <v>2</v>
      </c>
      <c r="AG40" s="222">
        <f t="shared" si="35"/>
        <v>5</v>
      </c>
      <c r="AH40" s="222">
        <f t="shared" si="35"/>
        <v>10</v>
      </c>
      <c r="AI40" s="222">
        <f t="shared" si="35"/>
        <v>3</v>
      </c>
      <c r="AJ40" s="222">
        <f>IF(U40="","",(U40-T40))</f>
        <v>0</v>
      </c>
      <c r="AK40" s="222" t="e">
        <f>IF(#REF!="","",(#REF!-U40))</f>
        <v>#REF!</v>
      </c>
      <c r="AL40" s="222" t="str">
        <f>IF(W40="","",(W40-#REF!))</f>
        <v/>
      </c>
      <c r="AM40" s="17"/>
      <c r="AN40" s="222"/>
      <c r="AO40" s="218">
        <v>5</v>
      </c>
      <c r="AP40" s="218" t="e">
        <f>#REF!-AO40</f>
        <v>#REF!</v>
      </c>
      <c r="AQ40" s="218" t="e">
        <f>AB40-#REF!</f>
        <v>#REF!</v>
      </c>
      <c r="AR40" s="218"/>
      <c r="AS40" s="220"/>
      <c r="AT40" s="220"/>
      <c r="AU40" s="218"/>
      <c r="AV40" s="218"/>
      <c r="AW40" s="218"/>
      <c r="AX40" s="218"/>
      <c r="AY40" s="218"/>
      <c r="AZ40" s="218"/>
      <c r="BA40" s="34"/>
      <c r="BC40" s="17"/>
      <c r="BD40" s="218" t="e">
        <f>#REF!-#REF!</f>
        <v>#REF!</v>
      </c>
      <c r="BE40" s="218" t="e">
        <f>AQ40-#REF!</f>
        <v>#REF!</v>
      </c>
      <c r="BF40" s="218"/>
      <c r="BG40" s="220"/>
      <c r="BH40" s="220"/>
      <c r="BI40" s="218"/>
      <c r="BJ40" s="218"/>
      <c r="BK40" s="218"/>
      <c r="BL40" s="218"/>
      <c r="BM40" s="218"/>
      <c r="BN40" s="218"/>
      <c r="BO40" s="218"/>
    </row>
    <row r="41" spans="1:67" s="61" customFormat="1" ht="22.2" customHeight="1" thickBot="1" x14ac:dyDescent="0.3">
      <c r="A41" s="348" t="s">
        <v>148</v>
      </c>
      <c r="B41" s="317"/>
      <c r="C41" s="308">
        <v>90</v>
      </c>
      <c r="D41" s="349"/>
      <c r="E41" s="354">
        <v>50</v>
      </c>
      <c r="F41" s="342" t="s">
        <v>111</v>
      </c>
      <c r="G41" s="343">
        <f t="shared" si="34"/>
        <v>62.400000000000006</v>
      </c>
      <c r="H41" s="344">
        <f t="array" aca="1" ref="H41" ca="1">(OFFSET(L41,0,MAX((L41:W41&lt;&gt;"")*(COLUMN(L41:W41)))-COLUMN(L41)))</f>
        <v>52</v>
      </c>
      <c r="I41" s="353">
        <f ca="1">IF(H41="","",IF(H41&gt;=AN41,1,IF(AND(H41&lt;AN41,H41&gt;=BC41),2,IF(H41&lt;BC41,3))))</f>
        <v>1</v>
      </c>
      <c r="J41" s="345"/>
      <c r="K41" s="407">
        <v>90</v>
      </c>
      <c r="L41" s="363">
        <v>3</v>
      </c>
      <c r="M41" s="258">
        <v>10</v>
      </c>
      <c r="N41" s="258">
        <v>23</v>
      </c>
      <c r="O41" s="360">
        <v>23</v>
      </c>
      <c r="P41" s="258">
        <v>31</v>
      </c>
      <c r="Q41" s="258">
        <v>38</v>
      </c>
      <c r="R41" s="258">
        <v>44</v>
      </c>
      <c r="S41" s="258">
        <v>46</v>
      </c>
      <c r="T41" s="258">
        <f>38+13</f>
        <v>51</v>
      </c>
      <c r="U41" s="258">
        <v>52</v>
      </c>
      <c r="V41" s="258"/>
      <c r="W41" s="361"/>
      <c r="X41" s="211"/>
      <c r="Y41" s="279">
        <f t="array" ref="Y41">INDEX($L$4:$W$4,MAX(IF($L41:$W41&lt;&gt;"",COLUMN($L41:$W41)-COLUMN($L$9)+1)))</f>
        <v>43101</v>
      </c>
      <c r="Z41" s="266"/>
      <c r="AA41" s="273">
        <f>L41</f>
        <v>3</v>
      </c>
      <c r="AB41" s="223">
        <f>M41-L41</f>
        <v>7</v>
      </c>
      <c r="AC41" s="222">
        <f t="shared" si="35"/>
        <v>13</v>
      </c>
      <c r="AD41" s="222">
        <f t="shared" si="35"/>
        <v>0</v>
      </c>
      <c r="AE41" s="222">
        <f t="shared" si="35"/>
        <v>8</v>
      </c>
      <c r="AF41" s="222">
        <f t="shared" si="35"/>
        <v>7</v>
      </c>
      <c r="AG41" s="222">
        <f t="shared" si="35"/>
        <v>6</v>
      </c>
      <c r="AH41" s="222">
        <f t="shared" si="35"/>
        <v>2</v>
      </c>
      <c r="AI41" s="222">
        <f t="shared" si="35"/>
        <v>5</v>
      </c>
      <c r="AJ41" s="222">
        <f t="shared" si="35"/>
        <v>1</v>
      </c>
      <c r="AK41" s="222" t="str">
        <f t="shared" si="35"/>
        <v/>
      </c>
      <c r="AL41" s="222" t="str">
        <f t="shared" si="35"/>
        <v/>
      </c>
      <c r="AM41" s="17"/>
      <c r="AN41" s="222">
        <f>HLOOKUP(Y41,staggered,38,FALSE)</f>
        <v>41.666666666666671</v>
      </c>
      <c r="AO41" s="224">
        <v>6.5</v>
      </c>
      <c r="AP41" s="264">
        <f>((VALUE((RIGHT($E$41,5))))/12)</f>
        <v>4.166666666666667</v>
      </c>
      <c r="AQ41" s="264">
        <f>((VALUE((RIGHT($E$41,5))))/12)*2</f>
        <v>8.3333333333333339</v>
      </c>
      <c r="AR41" s="264">
        <f>((VALUE((RIGHT($E$41,5))))/12)*3</f>
        <v>12.5</v>
      </c>
      <c r="AS41" s="264">
        <f>((VALUE((RIGHT($E$41,5))))/12)*4</f>
        <v>16.666666666666668</v>
      </c>
      <c r="AT41" s="264">
        <f>((VALUE((RIGHT($E$41,5))))/12)*5</f>
        <v>20.833333333333336</v>
      </c>
      <c r="AU41" s="264">
        <f>((VALUE((RIGHT($E$41,5))))/12)*6</f>
        <v>25</v>
      </c>
      <c r="AV41" s="264">
        <f>((VALUE((RIGHT($E$41,5))))/12)*7</f>
        <v>29.166666666666668</v>
      </c>
      <c r="AW41" s="264">
        <f>((VALUE((RIGHT($E$41,5))))/12)*8</f>
        <v>33.333333333333336</v>
      </c>
      <c r="AX41" s="264">
        <f>((VALUE((RIGHT($E$41,5))))/12)*9</f>
        <v>37.5</v>
      </c>
      <c r="AY41" s="264">
        <f>((VALUE((RIGHT($E$41,5))))/12)*10</f>
        <v>41.666666666666671</v>
      </c>
      <c r="AZ41" s="264">
        <f>((VALUE((RIGHT($E$41,5))))/12)*11</f>
        <v>45.833333333333336</v>
      </c>
      <c r="BA41" s="264">
        <f>((VALUE((RIGHT($E$41,5))))/12)*12</f>
        <v>50</v>
      </c>
      <c r="BB41" s="239"/>
      <c r="BC41" s="273">
        <f>HLOOKUP(Y41,amber,38,FALSE)</f>
        <v>33.333333333333336</v>
      </c>
      <c r="BD41" s="262">
        <f>40/12</f>
        <v>3.3333333333333335</v>
      </c>
      <c r="BE41" s="262">
        <f>(40/12)*2</f>
        <v>6.666666666666667</v>
      </c>
      <c r="BF41" s="262">
        <f>(40/12)*3</f>
        <v>10</v>
      </c>
      <c r="BG41" s="262">
        <f>(40/12)*4</f>
        <v>13.333333333333334</v>
      </c>
      <c r="BH41" s="262">
        <f>(40/12)*5</f>
        <v>16.666666666666668</v>
      </c>
      <c r="BI41" s="262">
        <f>(40/12)*6</f>
        <v>20</v>
      </c>
      <c r="BJ41" s="262">
        <f>(40/12)*7</f>
        <v>23.333333333333336</v>
      </c>
      <c r="BK41" s="262">
        <f>(40/12)*8</f>
        <v>26.666666666666668</v>
      </c>
      <c r="BL41" s="262">
        <f>(40/12)*9</f>
        <v>30</v>
      </c>
      <c r="BM41" s="262">
        <f>(40/12)*10</f>
        <v>33.333333333333336</v>
      </c>
      <c r="BN41" s="262">
        <f>(40/12)*11</f>
        <v>36.666666666666671</v>
      </c>
      <c r="BO41" s="262">
        <f>(40/12)*12</f>
        <v>40</v>
      </c>
    </row>
    <row r="42" spans="1:67" ht="22.2" customHeight="1" thickBot="1" x14ac:dyDescent="0.35">
      <c r="A42" s="194" t="s">
        <v>39</v>
      </c>
      <c r="B42" s="180"/>
      <c r="C42" s="185">
        <f>SUM(C34:C36)</f>
        <v>260</v>
      </c>
      <c r="D42" s="237">
        <f>SUM(D34:D36)</f>
        <v>349</v>
      </c>
      <c r="E42" s="40">
        <v>200</v>
      </c>
      <c r="F42" s="44"/>
      <c r="G42" s="44">
        <f>SUM(G34:G36)</f>
        <v>220.79999999999998</v>
      </c>
      <c r="H42" s="44">
        <f ca="1">SUM(H34:H36)</f>
        <v>184</v>
      </c>
      <c r="I42" s="44"/>
      <c r="J42" s="185"/>
      <c r="K42" s="179">
        <f t="shared" ref="K42" si="36">SUM(K34:K36)</f>
        <v>260</v>
      </c>
      <c r="L42" s="253">
        <f t="shared" ref="L42:W42" si="37">IF(L34="","",L34+L35+L36)</f>
        <v>13</v>
      </c>
      <c r="M42" s="253">
        <f t="shared" si="37"/>
        <v>27</v>
      </c>
      <c r="N42" s="253">
        <f t="shared" si="37"/>
        <v>42</v>
      </c>
      <c r="O42" s="253">
        <f t="shared" si="37"/>
        <v>80</v>
      </c>
      <c r="P42" s="253">
        <f t="shared" si="37"/>
        <v>101</v>
      </c>
      <c r="Q42" s="253">
        <f t="shared" si="37"/>
        <v>119</v>
      </c>
      <c r="R42" s="253">
        <f t="shared" si="37"/>
        <v>136</v>
      </c>
      <c r="S42" s="253">
        <f t="shared" si="37"/>
        <v>154</v>
      </c>
      <c r="T42" s="253">
        <f t="shared" si="37"/>
        <v>166</v>
      </c>
      <c r="U42" s="253">
        <f t="shared" si="37"/>
        <v>184</v>
      </c>
      <c r="V42" s="253" t="str">
        <f t="shared" si="37"/>
        <v/>
      </c>
      <c r="W42" s="253" t="str">
        <f t="shared" si="37"/>
        <v/>
      </c>
      <c r="X42" s="213"/>
      <c r="Y42" s="279">
        <f t="array" ref="Y42">INDEX($L$4:$W$4,MAX(IF($L42:$W42&lt;&gt;"",COLUMN($L42:$W42)-COLUMN($L$9)+1)))</f>
        <v>43101</v>
      </c>
      <c r="Z42" s="266"/>
      <c r="AA42" s="273">
        <f>L42</f>
        <v>13</v>
      </c>
      <c r="AB42" s="247">
        <f>M42-L42</f>
        <v>14</v>
      </c>
      <c r="AC42" s="222">
        <f t="shared" si="35"/>
        <v>15</v>
      </c>
      <c r="AD42" s="222">
        <f t="shared" si="35"/>
        <v>38</v>
      </c>
      <c r="AE42" s="222">
        <f t="shared" si="35"/>
        <v>21</v>
      </c>
      <c r="AF42" s="222">
        <f t="shared" si="35"/>
        <v>18</v>
      </c>
      <c r="AG42" s="222">
        <f t="shared" si="35"/>
        <v>17</v>
      </c>
      <c r="AH42" s="222">
        <f t="shared" si="35"/>
        <v>18</v>
      </c>
      <c r="AI42" s="222">
        <f t="shared" si="35"/>
        <v>12</v>
      </c>
      <c r="AJ42" s="222">
        <f t="shared" si="35"/>
        <v>18</v>
      </c>
      <c r="AK42" s="222" t="str">
        <f t="shared" si="35"/>
        <v/>
      </c>
      <c r="AL42" s="222" t="str">
        <f t="shared" si="35"/>
        <v/>
      </c>
      <c r="AM42" s="17"/>
      <c r="AN42" s="227" t="e">
        <f>V42/12*2</f>
        <v>#VALUE!</v>
      </c>
      <c r="AO42" s="228">
        <v>14</v>
      </c>
      <c r="AP42" s="228" t="e">
        <f>#REF!-AO42</f>
        <v>#REF!</v>
      </c>
      <c r="AQ42" s="228" t="e">
        <f>AB42-#REF!</f>
        <v>#REF!</v>
      </c>
      <c r="AR42" s="228"/>
      <c r="AS42" s="229"/>
      <c r="AT42" s="229"/>
      <c r="AU42" s="228"/>
      <c r="AV42" s="228"/>
      <c r="AW42" s="228"/>
      <c r="AX42" s="228"/>
      <c r="AY42" s="228"/>
      <c r="AZ42" s="228"/>
      <c r="BA42" s="271"/>
      <c r="BC42" s="17"/>
      <c r="BD42" s="228" t="e">
        <f>#REF!-#REF!</f>
        <v>#REF!</v>
      </c>
      <c r="BE42" s="228" t="e">
        <f>AQ42-#REF!</f>
        <v>#REF!</v>
      </c>
      <c r="BF42" s="228"/>
      <c r="BG42" s="229"/>
      <c r="BH42" s="229"/>
      <c r="BI42" s="228"/>
      <c r="BJ42" s="228"/>
      <c r="BK42" s="228"/>
      <c r="BL42" s="228"/>
      <c r="BM42" s="228"/>
      <c r="BN42" s="228"/>
      <c r="BO42" s="230"/>
    </row>
    <row r="43" spans="1:67" ht="7.5" customHeight="1" x14ac:dyDescent="0.25">
      <c r="A43" s="28"/>
      <c r="B43" s="65"/>
      <c r="C43" s="17"/>
      <c r="D43" s="17"/>
      <c r="E43" s="17"/>
      <c r="F43" s="17"/>
      <c r="G43" s="17"/>
      <c r="H43" s="17" t="str">
        <f>IF((SUM(L43:WB43))=0,"",(SUM(L43:WB43)))</f>
        <v/>
      </c>
      <c r="J43" s="17"/>
      <c r="K43" s="18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8"/>
      <c r="X43" s="17"/>
      <c r="Y43" s="279"/>
      <c r="Z43" s="266"/>
      <c r="AA43" s="206"/>
      <c r="AB43" s="206"/>
      <c r="AC43" s="241"/>
      <c r="AD43" s="242"/>
      <c r="AE43" s="242"/>
      <c r="AF43" s="241"/>
      <c r="AG43" s="241"/>
      <c r="AH43" s="241"/>
      <c r="AN43" s="206"/>
      <c r="AS43" s="201"/>
      <c r="AT43" s="201"/>
      <c r="BG43" s="201"/>
      <c r="BH43" s="201"/>
    </row>
    <row r="44" spans="1:67" ht="22.2" customHeight="1" x14ac:dyDescent="0.25">
      <c r="A44" s="355" t="s">
        <v>40</v>
      </c>
      <c r="B44" s="17"/>
      <c r="C44" s="17"/>
      <c r="D44" s="17"/>
      <c r="E44" s="17"/>
      <c r="F44" s="17"/>
      <c r="G44" s="17"/>
      <c r="H44" s="17" t="str">
        <f>IF((SUM(L44:WB44))=0,"",(SUM(L44:WB44)))</f>
        <v/>
      </c>
      <c r="J44" s="17"/>
      <c r="K44" s="18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8"/>
      <c r="X44" s="17"/>
      <c r="Y44" s="279"/>
      <c r="Z44" s="266"/>
      <c r="AA44" s="206"/>
      <c r="AB44" s="206"/>
      <c r="AC44" s="241"/>
      <c r="AD44" s="242"/>
      <c r="AE44" s="242"/>
      <c r="AF44" s="241"/>
      <c r="AG44" s="241"/>
      <c r="AH44" s="241"/>
      <c r="AN44" s="206"/>
      <c r="AS44" s="201"/>
      <c r="AT44" s="201"/>
      <c r="BG44" s="201"/>
      <c r="BH44" s="201"/>
    </row>
    <row r="45" spans="1:67" ht="27.15" customHeight="1" x14ac:dyDescent="0.25">
      <c r="A45" s="197" t="s">
        <v>41</v>
      </c>
      <c r="B45" s="103"/>
      <c r="C45" s="187">
        <v>206</v>
      </c>
      <c r="D45" s="181">
        <v>325</v>
      </c>
      <c r="E45" s="340">
        <v>200</v>
      </c>
      <c r="F45" s="255" t="s">
        <v>121</v>
      </c>
      <c r="G45" s="101">
        <f>((INDEX(L45:W45,COUNT(L45:W45))/(COUNT(L45:W45)))*12)</f>
        <v>220.79999999999998</v>
      </c>
      <c r="H45" s="101">
        <f t="array" aca="1" ref="H45" ca="1">(OFFSET(L45,0,MAX((L45:W45&lt;&gt;"")*(COLUMN(L45:W45)))-COLUMN(L45)))</f>
        <v>184</v>
      </c>
      <c r="I45" s="326">
        <f ca="1">IF(H45="","",IF(H45&lt;=AN45,1,IF(AND(H45&gt;AN45,H45&lt;=BC45),2,IF(H45&gt;BC45,3))))</f>
        <v>2</v>
      </c>
      <c r="J45" s="324"/>
      <c r="K45" s="323">
        <v>206</v>
      </c>
      <c r="L45" s="358">
        <v>19</v>
      </c>
      <c r="M45" s="103">
        <v>45</v>
      </c>
      <c r="N45" s="103">
        <v>61</v>
      </c>
      <c r="O45" s="103">
        <v>83</v>
      </c>
      <c r="P45" s="103">
        <v>95</v>
      </c>
      <c r="Q45" s="103">
        <v>111</v>
      </c>
      <c r="R45" s="103">
        <v>135</v>
      </c>
      <c r="S45" s="103">
        <v>155</v>
      </c>
      <c r="T45" s="103">
        <v>168</v>
      </c>
      <c r="U45" s="103">
        <v>184</v>
      </c>
      <c r="V45" s="103"/>
      <c r="W45" s="292"/>
      <c r="X45" s="211"/>
      <c r="Y45" s="279">
        <f t="array" ref="Y45">INDEX($L$4:$W$4,MAX(IF($L45:$W45&lt;&gt;"",COLUMN($L45:$W45)-COLUMN($L$9)+1)))</f>
        <v>43101</v>
      </c>
      <c r="Z45" s="266"/>
      <c r="AA45" s="273">
        <f>L45</f>
        <v>19</v>
      </c>
      <c r="AB45" s="222">
        <f>M45-L45</f>
        <v>26</v>
      </c>
      <c r="AC45" s="222">
        <f t="shared" ref="AC45:AI48" si="38">IF(N45="","",(N45-M45))</f>
        <v>16</v>
      </c>
      <c r="AD45" s="222">
        <f t="shared" si="38"/>
        <v>22</v>
      </c>
      <c r="AE45" s="222">
        <f t="shared" si="38"/>
        <v>12</v>
      </c>
      <c r="AF45" s="222">
        <f t="shared" si="38"/>
        <v>16</v>
      </c>
      <c r="AG45" s="222">
        <f t="shared" si="38"/>
        <v>24</v>
      </c>
      <c r="AH45" s="222">
        <f>IF(S45="","",(S45-R45))</f>
        <v>20</v>
      </c>
      <c r="AI45" s="222">
        <f>IF(T45="","",(T45-S45))</f>
        <v>13</v>
      </c>
      <c r="AJ45" s="222">
        <f t="shared" ref="AJ45:AL48" si="39">IF(U45="","",(U45-T45))</f>
        <v>16</v>
      </c>
      <c r="AK45" s="222" t="str">
        <f t="shared" si="39"/>
        <v/>
      </c>
      <c r="AL45" s="222" t="str">
        <f t="shared" si="39"/>
        <v/>
      </c>
      <c r="AM45" s="17"/>
      <c r="AN45" s="222">
        <f>HLOOKUP(Y45,staggered,42,FALSE)</f>
        <v>166.66666666666669</v>
      </c>
      <c r="AO45" s="218">
        <v>18</v>
      </c>
      <c r="AP45" s="264">
        <f>((VALUE((RIGHT($E$45,5))))/12)</f>
        <v>16.666666666666668</v>
      </c>
      <c r="AQ45" s="264">
        <f>((VALUE((RIGHT($E$45,5))))/12)*2</f>
        <v>33.333333333333336</v>
      </c>
      <c r="AR45" s="264">
        <f>((VALUE((RIGHT($E$45,5))))/12)*3</f>
        <v>50</v>
      </c>
      <c r="AS45" s="264">
        <f>((VALUE((RIGHT($E$45,5))))/12)*4</f>
        <v>66.666666666666671</v>
      </c>
      <c r="AT45" s="264">
        <f>((VALUE((RIGHT($E$45,5))))/12)*5</f>
        <v>83.333333333333343</v>
      </c>
      <c r="AU45" s="264">
        <f>((VALUE((RIGHT($E$45,5))))/12)*6</f>
        <v>100</v>
      </c>
      <c r="AV45" s="264">
        <f>((VALUE((RIGHT($E$45,5))))/12)*7</f>
        <v>116.66666666666667</v>
      </c>
      <c r="AW45" s="264">
        <f>((VALUE((RIGHT($E$45,5))))/12)*8</f>
        <v>133.33333333333334</v>
      </c>
      <c r="AX45" s="264">
        <f>((VALUE((RIGHT($E$45,5))))/12)*9</f>
        <v>150</v>
      </c>
      <c r="AY45" s="264">
        <f>((VALUE((RIGHT($E$45,5))))/12)*10</f>
        <v>166.66666666666669</v>
      </c>
      <c r="AZ45" s="264">
        <f>((VALUE((RIGHT($E$45,5))))/12)*11</f>
        <v>183.33333333333334</v>
      </c>
      <c r="BA45" s="269">
        <f>((VALUE((RIGHT($E$45,5))))/12)*12</f>
        <v>200</v>
      </c>
      <c r="BB45" s="275"/>
      <c r="BC45" s="273">
        <f>HLOOKUP(Y45,amber,42,FALSE)</f>
        <v>191.66666666666669</v>
      </c>
      <c r="BD45" s="262">
        <f>230/12</f>
        <v>19.166666666666668</v>
      </c>
      <c r="BE45" s="262">
        <f>(230/12)*2</f>
        <v>38.333333333333336</v>
      </c>
      <c r="BF45" s="262">
        <f>(230/12)*3</f>
        <v>57.5</v>
      </c>
      <c r="BG45" s="262">
        <f>(230/12)*4</f>
        <v>76.666666666666671</v>
      </c>
      <c r="BH45" s="262">
        <f>(230/12)*5</f>
        <v>95.833333333333343</v>
      </c>
      <c r="BI45" s="262">
        <f>(230/12)*6</f>
        <v>115</v>
      </c>
      <c r="BJ45" s="262">
        <f>(230/12)*7</f>
        <v>134.16666666666669</v>
      </c>
      <c r="BK45" s="262">
        <f>(230/12)*8</f>
        <v>153.33333333333334</v>
      </c>
      <c r="BL45" s="262">
        <f>(230/12)*9</f>
        <v>172.5</v>
      </c>
      <c r="BM45" s="262">
        <f>(230/12)*10</f>
        <v>191.66666666666669</v>
      </c>
      <c r="BN45" s="262">
        <f>(230/12)*11</f>
        <v>210.83333333333334</v>
      </c>
      <c r="BO45" s="262">
        <f>(230/12)*12</f>
        <v>230</v>
      </c>
    </row>
    <row r="46" spans="1:67" ht="28.2" thickBot="1" x14ac:dyDescent="0.3">
      <c r="A46" s="337" t="s">
        <v>42</v>
      </c>
      <c r="B46" s="258"/>
      <c r="C46" s="338">
        <v>406</v>
      </c>
      <c r="D46" s="181">
        <v>150</v>
      </c>
      <c r="E46" s="356">
        <v>400</v>
      </c>
      <c r="F46" s="357" t="s">
        <v>118</v>
      </c>
      <c r="G46" s="343">
        <f t="shared" ref="G46" si="40">((INDEX(L46:W46,COUNT(L46:W46))/(COUNT(L46:W46)))*12)</f>
        <v>295.20000000000005</v>
      </c>
      <c r="H46" s="343">
        <f t="array" aca="1" ref="H46" ca="1">(OFFSET(L46,0,MAX((L46:W46&lt;&gt;"")*(COLUMN(L46:W46)))-COLUMN(L46)))</f>
        <v>246</v>
      </c>
      <c r="I46" s="342"/>
      <c r="J46" s="345"/>
      <c r="K46" s="350">
        <v>406</v>
      </c>
      <c r="L46" s="359">
        <v>28</v>
      </c>
      <c r="M46" s="258">
        <v>56</v>
      </c>
      <c r="N46" s="258">
        <v>72</v>
      </c>
      <c r="O46" s="258">
        <v>107</v>
      </c>
      <c r="P46" s="258">
        <v>128</v>
      </c>
      <c r="Q46" s="258">
        <v>146</v>
      </c>
      <c r="R46" s="258">
        <v>162</v>
      </c>
      <c r="S46" s="258">
        <v>200</v>
      </c>
      <c r="T46" s="360">
        <v>216</v>
      </c>
      <c r="U46" s="258">
        <v>246</v>
      </c>
      <c r="V46" s="408"/>
      <c r="W46" s="361"/>
      <c r="X46" s="211"/>
      <c r="Y46" s="279">
        <f t="array" ref="Y46">INDEX($L$4:$W$4,MAX(IF($L46:$W46&lt;&gt;"",COLUMN($L46:$W46)-COLUMN($L$9)+1)))</f>
        <v>43101</v>
      </c>
      <c r="Z46" s="266"/>
      <c r="AA46" s="273">
        <f>L46</f>
        <v>28</v>
      </c>
      <c r="AB46" s="223">
        <f>M46-L46</f>
        <v>28</v>
      </c>
      <c r="AC46" s="222">
        <f t="shared" si="38"/>
        <v>16</v>
      </c>
      <c r="AD46" s="222">
        <f t="shared" si="38"/>
        <v>35</v>
      </c>
      <c r="AE46" s="222">
        <f t="shared" si="38"/>
        <v>21</v>
      </c>
      <c r="AF46" s="222">
        <f t="shared" si="38"/>
        <v>18</v>
      </c>
      <c r="AG46" s="222">
        <f t="shared" si="38"/>
        <v>16</v>
      </c>
      <c r="AH46" s="222">
        <f t="shared" si="38"/>
        <v>38</v>
      </c>
      <c r="AI46" s="222">
        <f t="shared" si="38"/>
        <v>16</v>
      </c>
      <c r="AJ46" s="222">
        <f t="shared" si="39"/>
        <v>30</v>
      </c>
      <c r="AK46" s="222" t="str">
        <f t="shared" si="39"/>
        <v/>
      </c>
      <c r="AL46" s="222" t="str">
        <f t="shared" si="39"/>
        <v/>
      </c>
      <c r="AM46" s="17"/>
      <c r="AN46" s="222">
        <f>HLOOKUP(Y46,staggered,43,FALSE)</f>
        <v>333.33333333333337</v>
      </c>
      <c r="AO46" s="224">
        <v>22</v>
      </c>
      <c r="AP46" s="264">
        <f>((VALUE((RIGHT($E$46,5))))/12)</f>
        <v>33.333333333333336</v>
      </c>
      <c r="AQ46" s="264">
        <f>((VALUE((RIGHT($E$46,5))))/12)*2</f>
        <v>66.666666666666671</v>
      </c>
      <c r="AR46" s="264">
        <f>((VALUE((RIGHT($E$46,5))))/12)*3</f>
        <v>100</v>
      </c>
      <c r="AS46" s="264">
        <f>((VALUE((RIGHT($E$46,5))))/12)*4</f>
        <v>133.33333333333334</v>
      </c>
      <c r="AT46" s="264">
        <f>((VALUE((RIGHT($E$46,5))))/12)*5</f>
        <v>166.66666666666669</v>
      </c>
      <c r="AU46" s="264">
        <f>((VALUE((RIGHT($E$46,5))))/12)*6</f>
        <v>200</v>
      </c>
      <c r="AV46" s="264">
        <f>((VALUE((RIGHT($E$46,5))))/12)*7</f>
        <v>233.33333333333334</v>
      </c>
      <c r="AW46" s="264">
        <f>((VALUE((RIGHT($E$46,5))))/12)*8</f>
        <v>266.66666666666669</v>
      </c>
      <c r="AX46" s="264">
        <f>((VALUE((RIGHT($E$46,5))))/12)*9</f>
        <v>300</v>
      </c>
      <c r="AY46" s="264">
        <f>((VALUE((RIGHT($E$46,5))))/12)*10</f>
        <v>333.33333333333337</v>
      </c>
      <c r="AZ46" s="264">
        <f>((VALUE((RIGHT($E$46,5))))/12)*11</f>
        <v>366.66666666666669</v>
      </c>
      <c r="BA46" s="269">
        <f>((VALUE((RIGHT($E$46,5))))/12)*12</f>
        <v>400</v>
      </c>
      <c r="BC46" s="273">
        <f>HLOOKUP(Y46,amber,43,FALSE)</f>
        <v>375</v>
      </c>
      <c r="BD46" s="262">
        <f>450/12</f>
        <v>37.5</v>
      </c>
      <c r="BE46" s="262">
        <f>(450/12)*2</f>
        <v>75</v>
      </c>
      <c r="BF46" s="262">
        <f>(450/12)*3</f>
        <v>112.5</v>
      </c>
      <c r="BG46" s="262">
        <f>(450/12)*4</f>
        <v>150</v>
      </c>
      <c r="BH46" s="262">
        <f>(450/12)*5</f>
        <v>187.5</v>
      </c>
      <c r="BI46" s="262">
        <f>(450/12)*6</f>
        <v>225</v>
      </c>
      <c r="BJ46" s="262">
        <f>(450/12)*7</f>
        <v>262.5</v>
      </c>
      <c r="BK46" s="262">
        <f>(450/12)*8</f>
        <v>300</v>
      </c>
      <c r="BL46" s="262">
        <f>(450/12)*9</f>
        <v>337.5</v>
      </c>
      <c r="BM46" s="262">
        <f>(450/12)*10</f>
        <v>375</v>
      </c>
      <c r="BN46" s="262">
        <f>(450/12)*11</f>
        <v>412.5</v>
      </c>
      <c r="BO46" s="262">
        <f>(450/12)*12</f>
        <v>450</v>
      </c>
    </row>
    <row r="47" spans="1:67" ht="22.2" customHeight="1" thickBot="1" x14ac:dyDescent="0.35">
      <c r="A47" s="38" t="s">
        <v>43</v>
      </c>
      <c r="B47" s="39"/>
      <c r="C47" s="185">
        <f t="shared" ref="C47:D47" si="41">SUM(C45:C46)</f>
        <v>612</v>
      </c>
      <c r="D47" s="185">
        <f t="shared" si="41"/>
        <v>475</v>
      </c>
      <c r="E47" s="40">
        <f>SUM(E45:E46)</f>
        <v>600</v>
      </c>
      <c r="F47" s="44"/>
      <c r="G47" s="44">
        <f>SUM(G45:G46)</f>
        <v>516</v>
      </c>
      <c r="H47" s="44">
        <f ca="1">SUM(H45:H46)</f>
        <v>430</v>
      </c>
      <c r="I47" s="44"/>
      <c r="J47" s="185"/>
      <c r="K47" s="179">
        <f t="shared" ref="K47" si="42">SUM(K45:K46)</f>
        <v>612</v>
      </c>
      <c r="L47" s="44">
        <f t="shared" ref="L47:W47" si="43">IF(L45="","",L45+L46)</f>
        <v>47</v>
      </c>
      <c r="M47" s="44">
        <f t="shared" si="43"/>
        <v>101</v>
      </c>
      <c r="N47" s="44">
        <f t="shared" si="43"/>
        <v>133</v>
      </c>
      <c r="O47" s="44">
        <f t="shared" si="43"/>
        <v>190</v>
      </c>
      <c r="P47" s="44">
        <f t="shared" si="43"/>
        <v>223</v>
      </c>
      <c r="Q47" s="44">
        <f t="shared" si="43"/>
        <v>257</v>
      </c>
      <c r="R47" s="44">
        <f t="shared" si="43"/>
        <v>297</v>
      </c>
      <c r="S47" s="44">
        <f t="shared" si="43"/>
        <v>355</v>
      </c>
      <c r="T47" s="44">
        <f t="shared" si="43"/>
        <v>384</v>
      </c>
      <c r="U47" s="44">
        <f>IF(U45="","",U45+U46)</f>
        <v>430</v>
      </c>
      <c r="V47" s="44" t="str">
        <f>IF(V45="","",V45+V46)</f>
        <v/>
      </c>
      <c r="W47" s="44" t="str">
        <f t="shared" si="43"/>
        <v/>
      </c>
      <c r="X47" s="213"/>
      <c r="Y47" s="279">
        <f t="array" ref="Y47">INDEX($L$4:$W$4,MAX(IF($L47:$W47&lt;&gt;"",COLUMN($L47:$W47)-COLUMN($L$9)+1)))</f>
        <v>43101</v>
      </c>
      <c r="Z47" s="266"/>
      <c r="AA47" s="273">
        <f>L47</f>
        <v>47</v>
      </c>
      <c r="AB47" s="248">
        <f>M47-L47</f>
        <v>54</v>
      </c>
      <c r="AC47" s="222">
        <f t="shared" si="38"/>
        <v>32</v>
      </c>
      <c r="AD47" s="222">
        <f t="shared" si="38"/>
        <v>57</v>
      </c>
      <c r="AE47" s="222">
        <f t="shared" si="38"/>
        <v>33</v>
      </c>
      <c r="AF47" s="222">
        <f t="shared" si="38"/>
        <v>34</v>
      </c>
      <c r="AG47" s="222">
        <f t="shared" si="38"/>
        <v>40</v>
      </c>
      <c r="AH47" s="222">
        <f t="shared" si="38"/>
        <v>58</v>
      </c>
      <c r="AI47" s="222">
        <f t="shared" si="38"/>
        <v>29</v>
      </c>
      <c r="AJ47" s="222">
        <f t="shared" si="39"/>
        <v>46</v>
      </c>
      <c r="AK47" s="222" t="str">
        <f t="shared" si="39"/>
        <v/>
      </c>
      <c r="AL47" s="222" t="str">
        <f t="shared" si="39"/>
        <v/>
      </c>
      <c r="AM47" s="17"/>
      <c r="AN47" s="231">
        <f>SUM(AN45:AN46)</f>
        <v>500.00000000000006</v>
      </c>
      <c r="AO47" s="232">
        <v>40</v>
      </c>
      <c r="AP47" s="269">
        <f>((VALUE((RIGHT($E$47,5))))/12)</f>
        <v>50</v>
      </c>
      <c r="AQ47" s="269">
        <f>((VALUE((RIGHT($E$47,5))))/12)*2</f>
        <v>100</v>
      </c>
      <c r="AR47" s="269">
        <f>((VALUE((RIGHT($E$47,5))))/12)*3</f>
        <v>150</v>
      </c>
      <c r="AS47" s="269">
        <f>((VALUE((RIGHT($E$47,5))))/12)*4</f>
        <v>200</v>
      </c>
      <c r="AT47" s="269">
        <f>((VALUE((RIGHT($E$47,5))))/12)*5</f>
        <v>250</v>
      </c>
      <c r="AU47" s="269">
        <f>((VALUE((RIGHT($E$47,5))))/12)*6</f>
        <v>300</v>
      </c>
      <c r="AV47" s="269">
        <f>((VALUE((RIGHT($E$47,5))))/12)*7</f>
        <v>350</v>
      </c>
      <c r="AW47" s="269">
        <f>((VALUE((RIGHT($E$47,5))))/12)*8</f>
        <v>400</v>
      </c>
      <c r="AX47" s="269">
        <f>((VALUE((RIGHT($E$47,5))))/12)*9</f>
        <v>450</v>
      </c>
      <c r="AY47" s="269">
        <f>((VALUE((RIGHT($E$47,5))))/12)*10</f>
        <v>500</v>
      </c>
      <c r="AZ47" s="269">
        <f>((VALUE((RIGHT($E$47,5))))/12)*11</f>
        <v>550</v>
      </c>
      <c r="BA47" s="269">
        <f>((VALUE((RIGHT($E$47,5))))/12)*12</f>
        <v>600</v>
      </c>
      <c r="BC47" s="273">
        <f>HLOOKUP(Y47,amber,44,FALSE)</f>
        <v>458.33333333333337</v>
      </c>
      <c r="BD47" s="262">
        <f>550/12</f>
        <v>45.833333333333336</v>
      </c>
      <c r="BE47" s="262">
        <f>(550/12)*2</f>
        <v>91.666666666666671</v>
      </c>
      <c r="BF47" s="262">
        <f>(550/12)*3</f>
        <v>137.5</v>
      </c>
      <c r="BG47" s="262">
        <f>(550/12)*4</f>
        <v>183.33333333333334</v>
      </c>
      <c r="BH47" s="262">
        <f>(550/12)*5</f>
        <v>229.16666666666669</v>
      </c>
      <c r="BI47" s="262">
        <f>(550/12)*6</f>
        <v>275</v>
      </c>
      <c r="BJ47" s="262">
        <f>(550/12)*7</f>
        <v>320.83333333333337</v>
      </c>
      <c r="BK47" s="262">
        <f>(550/12)*8</f>
        <v>366.66666666666669</v>
      </c>
      <c r="BL47" s="262">
        <f>(550/12)*9</f>
        <v>412.5</v>
      </c>
      <c r="BM47" s="262">
        <f>(550/12)*10</f>
        <v>458.33333333333337</v>
      </c>
      <c r="BN47" s="262">
        <f>(550/12)*11</f>
        <v>504.16666666666669</v>
      </c>
      <c r="BO47" s="262">
        <f>(550/12)*12</f>
        <v>550</v>
      </c>
    </row>
    <row r="48" spans="1:67" ht="22.2" customHeight="1" thickBot="1" x14ac:dyDescent="0.35">
      <c r="A48" s="38" t="s">
        <v>44</v>
      </c>
      <c r="B48" s="39"/>
      <c r="C48" s="185">
        <f>C42+C45+C46</f>
        <v>872</v>
      </c>
      <c r="D48" s="185">
        <f>D42+D45+D46</f>
        <v>824</v>
      </c>
      <c r="E48" s="40">
        <f>E42+E47</f>
        <v>800</v>
      </c>
      <c r="F48" s="44"/>
      <c r="G48" s="44">
        <f t="shared" ref="G48" si="44">G42+G45+G46</f>
        <v>736.8</v>
      </c>
      <c r="H48" s="44">
        <f ca="1">H42+H45+H46</f>
        <v>614</v>
      </c>
      <c r="I48" s="44"/>
      <c r="J48" s="185"/>
      <c r="K48" s="179">
        <f>K42+K45+K46</f>
        <v>872</v>
      </c>
      <c r="L48" s="44">
        <f t="shared" ref="L48:W48" si="45">IF(L34="","",L42+L47)</f>
        <v>60</v>
      </c>
      <c r="M48" s="44">
        <f t="shared" si="45"/>
        <v>128</v>
      </c>
      <c r="N48" s="44">
        <f t="shared" si="45"/>
        <v>175</v>
      </c>
      <c r="O48" s="44">
        <f t="shared" si="45"/>
        <v>270</v>
      </c>
      <c r="P48" s="44">
        <f t="shared" si="45"/>
        <v>324</v>
      </c>
      <c r="Q48" s="44">
        <f t="shared" si="45"/>
        <v>376</v>
      </c>
      <c r="R48" s="44">
        <f t="shared" si="45"/>
        <v>433</v>
      </c>
      <c r="S48" s="44">
        <f t="shared" si="45"/>
        <v>509</v>
      </c>
      <c r="T48" s="44">
        <f t="shared" si="45"/>
        <v>550</v>
      </c>
      <c r="U48" s="44">
        <f t="shared" si="45"/>
        <v>614</v>
      </c>
      <c r="V48" s="44" t="str">
        <f t="shared" si="45"/>
        <v/>
      </c>
      <c r="W48" s="44" t="str">
        <f t="shared" si="45"/>
        <v/>
      </c>
      <c r="X48" s="213"/>
      <c r="Y48" s="279">
        <f t="array" ref="Y48">INDEX($L$4:$W$4,MAX(IF($L48:$W48&lt;&gt;"",COLUMN($L48:$W48)-COLUMN($L$9)+1)))</f>
        <v>43101</v>
      </c>
      <c r="Z48" s="266"/>
      <c r="AA48" s="273">
        <f>L48</f>
        <v>60</v>
      </c>
      <c r="AB48" s="249">
        <f>M48-L48</f>
        <v>68</v>
      </c>
      <c r="AC48" s="222">
        <f t="shared" si="38"/>
        <v>47</v>
      </c>
      <c r="AD48" s="222">
        <f t="shared" si="38"/>
        <v>95</v>
      </c>
      <c r="AE48" s="222">
        <f t="shared" si="38"/>
        <v>54</v>
      </c>
      <c r="AF48" s="222">
        <f t="shared" si="38"/>
        <v>52</v>
      </c>
      <c r="AG48" s="222">
        <f t="shared" si="38"/>
        <v>57</v>
      </c>
      <c r="AH48" s="222">
        <f t="shared" si="38"/>
        <v>76</v>
      </c>
      <c r="AI48" s="222">
        <f t="shared" si="38"/>
        <v>41</v>
      </c>
      <c r="AJ48" s="222">
        <f t="shared" si="39"/>
        <v>64</v>
      </c>
      <c r="AK48" s="222" t="str">
        <f t="shared" si="39"/>
        <v/>
      </c>
      <c r="AL48" s="222" t="str">
        <f t="shared" si="39"/>
        <v/>
      </c>
      <c r="AM48" s="17"/>
      <c r="AN48" s="233" t="e">
        <f>AN42+AN47</f>
        <v>#VALUE!</v>
      </c>
      <c r="AO48" s="234">
        <v>54</v>
      </c>
      <c r="AP48" s="269">
        <f>((VALUE((RIGHT($E$48,5))))/12)</f>
        <v>66.666666666666671</v>
      </c>
      <c r="AQ48" s="269">
        <f>((VALUE((RIGHT($E$48,5))))/12)*2</f>
        <v>133.33333333333334</v>
      </c>
      <c r="AR48" s="269">
        <f>((VALUE((RIGHT($E$48,5))))/12)*3</f>
        <v>200</v>
      </c>
      <c r="AS48" s="269">
        <f>((VALUE((RIGHT($E$48,5))))/12)*4</f>
        <v>266.66666666666669</v>
      </c>
      <c r="AT48" s="269">
        <f>((VALUE((RIGHT($E$48,5))))/12)*5</f>
        <v>333.33333333333337</v>
      </c>
      <c r="AU48" s="269">
        <f>((VALUE((RIGHT($E$48,5))))/12)*6</f>
        <v>400</v>
      </c>
      <c r="AV48" s="269">
        <f>((VALUE((RIGHT($E$48,5))))/12)*7</f>
        <v>466.66666666666669</v>
      </c>
      <c r="AW48" s="269">
        <f>((VALUE((RIGHT($E$48,5))))/12)*8</f>
        <v>533.33333333333337</v>
      </c>
      <c r="AX48" s="269">
        <f>((VALUE((RIGHT($E$48,5))))/12)*9</f>
        <v>600</v>
      </c>
      <c r="AY48" s="269">
        <f>((VALUE((RIGHT($E$48,5))))/12)*10</f>
        <v>666.66666666666674</v>
      </c>
      <c r="AZ48" s="269">
        <f>((VALUE((RIGHT($E$48,5))))/12)*11</f>
        <v>733.33333333333337</v>
      </c>
      <c r="BA48" s="269">
        <f>((VALUE((RIGHT($E$48,5))))/12)*12</f>
        <v>800</v>
      </c>
      <c r="BC48" s="17"/>
      <c r="BD48" s="262">
        <f>750/12</f>
        <v>62.5</v>
      </c>
      <c r="BE48" s="262">
        <f>(750/12)*2</f>
        <v>125</v>
      </c>
      <c r="BF48" s="262">
        <f>(750/12)*3</f>
        <v>187.5</v>
      </c>
      <c r="BG48" s="262">
        <f>(750/12)*4</f>
        <v>250</v>
      </c>
      <c r="BH48" s="262">
        <f>(750/12)*5</f>
        <v>312.5</v>
      </c>
      <c r="BI48" s="262">
        <f>(750/12)*6</f>
        <v>375</v>
      </c>
      <c r="BJ48" s="262">
        <f>(750/12)*7</f>
        <v>437.5</v>
      </c>
      <c r="BK48" s="262">
        <f>(750/12)*8</f>
        <v>500</v>
      </c>
      <c r="BL48" s="262">
        <f>(750/12)*9</f>
        <v>562.5</v>
      </c>
      <c r="BM48" s="262">
        <f>(750/12)*10</f>
        <v>625</v>
      </c>
      <c r="BN48" s="262">
        <f>(750/12)*11</f>
        <v>687.5</v>
      </c>
      <c r="BO48" s="262">
        <f>(750/12)*12</f>
        <v>750</v>
      </c>
    </row>
    <row r="49" spans="1:67" ht="7.95" customHeight="1" x14ac:dyDescent="0.25">
      <c r="A49" s="28"/>
      <c r="B49" s="17"/>
      <c r="C49" s="17"/>
      <c r="D49" s="17"/>
      <c r="E49" s="17"/>
      <c r="F49" s="17"/>
      <c r="G49" s="17"/>
      <c r="H49" s="17" t="str">
        <f>IF((SUM(L49:WB49))=0,"",(SUM(L49:WB49)))</f>
        <v/>
      </c>
      <c r="J49" s="17"/>
      <c r="K49" s="18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8"/>
      <c r="X49" s="17"/>
      <c r="Y49" s="279"/>
      <c r="Z49" s="266"/>
      <c r="AA49" s="206"/>
      <c r="AB49" s="206"/>
      <c r="AC49" s="241"/>
      <c r="AD49" s="242"/>
      <c r="AE49" s="242"/>
      <c r="AF49" s="241"/>
      <c r="AG49" s="241"/>
      <c r="AH49" s="241"/>
      <c r="AN49" s="206"/>
      <c r="AS49" s="201"/>
      <c r="AT49" s="201"/>
      <c r="BG49" s="201"/>
      <c r="BH49" s="201"/>
    </row>
    <row r="50" spans="1:67" ht="27.6" x14ac:dyDescent="0.25">
      <c r="A50" s="197" t="s">
        <v>26</v>
      </c>
      <c r="B50" s="103"/>
      <c r="C50" s="187">
        <f>C27</f>
        <v>150</v>
      </c>
      <c r="D50" s="20"/>
      <c r="E50" s="340">
        <v>250</v>
      </c>
      <c r="F50" s="255" t="s">
        <v>111</v>
      </c>
      <c r="G50" s="101">
        <f t="shared" ref="G50" si="46">((INDEX(L50:W50,COUNT(L50:W50))/(COUNT(L50:W50)))*12)</f>
        <v>237.60000000000002</v>
      </c>
      <c r="H50" s="101">
        <f t="array" aca="1" ref="H50" ca="1">(OFFSET(L50,0,MAX((L50:W50&lt;&gt;"")*(COLUMN(L50:W50)))-COLUMN(L50)))</f>
        <v>198</v>
      </c>
      <c r="I50" s="326">
        <f ca="1">IF(H50="","",IF(H50&gt;=AN50,1,IF(AND(H50&lt;AN50,H50&gt;=BC50),2,IF(H50&lt;BC50,3))))</f>
        <v>3</v>
      </c>
      <c r="J50" s="324"/>
      <c r="K50" s="181">
        <f>K27</f>
        <v>150</v>
      </c>
      <c r="L50" s="191">
        <f>L27</f>
        <v>11</v>
      </c>
      <c r="M50" s="103">
        <f>M27</f>
        <v>25</v>
      </c>
      <c r="N50" s="103">
        <f>N27</f>
        <v>67</v>
      </c>
      <c r="O50" s="103">
        <f t="shared" ref="O50:W51" si="47">IF(O27="","",O27)</f>
        <v>98</v>
      </c>
      <c r="P50" s="103">
        <f t="shared" si="47"/>
        <v>145</v>
      </c>
      <c r="Q50" s="103">
        <f t="shared" si="47"/>
        <v>150</v>
      </c>
      <c r="R50" s="103">
        <f t="shared" si="47"/>
        <v>189</v>
      </c>
      <c r="S50" s="103">
        <f t="shared" si="47"/>
        <v>191</v>
      </c>
      <c r="T50" s="103">
        <f t="shared" si="47"/>
        <v>191</v>
      </c>
      <c r="U50" s="103">
        <f t="shared" si="47"/>
        <v>198</v>
      </c>
      <c r="V50" s="103" t="str">
        <f t="shared" si="47"/>
        <v/>
      </c>
      <c r="W50" s="292" t="str">
        <f t="shared" si="47"/>
        <v/>
      </c>
      <c r="X50" s="211"/>
      <c r="Y50" s="279">
        <f t="array" ref="Y50">INDEX($L$4:$W$4,MAX(IF($L50:$W50&lt;&gt;"",COLUMN($L50:$W50)-COLUMN($L$9)+1)))</f>
        <v>43101</v>
      </c>
      <c r="Z50" s="266"/>
      <c r="AA50" s="273">
        <f>L50</f>
        <v>11</v>
      </c>
      <c r="AB50" s="222">
        <f>M50-L50</f>
        <v>14</v>
      </c>
      <c r="AC50" s="222">
        <f t="shared" ref="AC50:AL52" si="48">IF(N50="","",(N50-M50))</f>
        <v>42</v>
      </c>
      <c r="AD50" s="222">
        <f t="shared" si="48"/>
        <v>31</v>
      </c>
      <c r="AE50" s="222">
        <f t="shared" si="48"/>
        <v>47</v>
      </c>
      <c r="AF50" s="222">
        <f t="shared" si="48"/>
        <v>5</v>
      </c>
      <c r="AG50" s="222">
        <f t="shared" si="48"/>
        <v>39</v>
      </c>
      <c r="AH50" s="222">
        <f t="shared" si="48"/>
        <v>2</v>
      </c>
      <c r="AI50" s="222">
        <f t="shared" si="48"/>
        <v>0</v>
      </c>
      <c r="AJ50" s="222">
        <f t="shared" si="48"/>
        <v>7</v>
      </c>
      <c r="AK50" s="222" t="str">
        <f t="shared" si="48"/>
        <v/>
      </c>
      <c r="AL50" s="222" t="str">
        <f t="shared" si="48"/>
        <v/>
      </c>
      <c r="AM50" s="17"/>
      <c r="AN50" s="222">
        <f>HLOOKUP(Y50,staggered,47,FALSE)</f>
        <v>208.33333333333331</v>
      </c>
      <c r="AO50" s="218">
        <v>31.5</v>
      </c>
      <c r="AP50" s="269">
        <f>((VALUE((RIGHT($E$50,5))))/12)</f>
        <v>20.833333333333332</v>
      </c>
      <c r="AQ50" s="269">
        <f>((VALUE((RIGHT($E$50,5))))/12)*2</f>
        <v>41.666666666666664</v>
      </c>
      <c r="AR50" s="269">
        <f>((VALUE((RIGHT($E$50,5))))/12)*3</f>
        <v>62.5</v>
      </c>
      <c r="AS50" s="269">
        <f>((VALUE((RIGHT($E$50,5))))/12)*4</f>
        <v>83.333333333333329</v>
      </c>
      <c r="AT50" s="269">
        <f>((VALUE((RIGHT($E$50,5))))/12)*5</f>
        <v>104.16666666666666</v>
      </c>
      <c r="AU50" s="269">
        <f>((VALUE((RIGHT($E$50,5))))/12)*6</f>
        <v>125</v>
      </c>
      <c r="AV50" s="269">
        <f>((VALUE((RIGHT($E$50,5))))/12)*7</f>
        <v>145.83333333333331</v>
      </c>
      <c r="AW50" s="269">
        <f>((VALUE((RIGHT($E$50,5))))/12)*8</f>
        <v>166.66666666666666</v>
      </c>
      <c r="AX50" s="269">
        <f>((VALUE((RIGHT($E$50,5))))/12)*9</f>
        <v>187.5</v>
      </c>
      <c r="AY50" s="269">
        <f>((VALUE((RIGHT($E$50,5))))/12)*10</f>
        <v>208.33333333333331</v>
      </c>
      <c r="AZ50" s="269">
        <f>((VALUE((RIGHT($E$50,5))))/12)*11</f>
        <v>229.16666666666666</v>
      </c>
      <c r="BA50" s="269">
        <f>((VALUE((RIGHT($E$50,5))))/12)*12</f>
        <v>250</v>
      </c>
      <c r="BC50" s="273">
        <f>HLOOKUP(Y50,amber,47,FALSE)</f>
        <v>225</v>
      </c>
      <c r="BD50" s="262">
        <f>270/12</f>
        <v>22.5</v>
      </c>
      <c r="BE50" s="262">
        <f>(270/12)*2</f>
        <v>45</v>
      </c>
      <c r="BF50" s="262">
        <f>(270/12)*3</f>
        <v>67.5</v>
      </c>
      <c r="BG50" s="262">
        <f>(270/12)*4</f>
        <v>90</v>
      </c>
      <c r="BH50" s="262">
        <f>(270/12)*5</f>
        <v>112.5</v>
      </c>
      <c r="BI50" s="262">
        <f>(270/12)*6</f>
        <v>135</v>
      </c>
      <c r="BJ50" s="262">
        <f>(270/12)*7</f>
        <v>157.5</v>
      </c>
      <c r="BK50" s="262">
        <f>(270/12)*8</f>
        <v>180</v>
      </c>
      <c r="BL50" s="262">
        <f>(270/12)*9</f>
        <v>202.5</v>
      </c>
      <c r="BM50" s="262">
        <f>(270/12)*10</f>
        <v>225</v>
      </c>
      <c r="BN50" s="262">
        <f>(270/12)*11</f>
        <v>247.5</v>
      </c>
      <c r="BO50" s="262">
        <f>(270/12)*12</f>
        <v>270</v>
      </c>
    </row>
    <row r="51" spans="1:67" ht="22.2" customHeight="1" thickBot="1" x14ac:dyDescent="0.3">
      <c r="A51" s="337" t="s">
        <v>27</v>
      </c>
      <c r="B51" s="258"/>
      <c r="C51" s="338">
        <v>0</v>
      </c>
      <c r="D51" s="362"/>
      <c r="E51" s="356"/>
      <c r="F51" s="357" t="s">
        <v>118</v>
      </c>
      <c r="G51" s="343">
        <f>((INDEX(L51:W51,COUNT(L51:W51))/(COUNT(L51:W51)))*12)</f>
        <v>68.400000000000006</v>
      </c>
      <c r="H51" s="343">
        <f t="array" aca="1" ref="H51" ca="1">(OFFSET(L51,0,MAX((L51:W51&lt;&gt;"")*(COLUMN(L51:W51)))-COLUMN(L51)))</f>
        <v>57</v>
      </c>
      <c r="I51" s="344"/>
      <c r="J51" s="345"/>
      <c r="K51" s="181">
        <v>0</v>
      </c>
      <c r="L51" s="363">
        <f>L28</f>
        <v>1</v>
      </c>
      <c r="M51" s="258">
        <f>M28</f>
        <v>16</v>
      </c>
      <c r="N51" s="258">
        <f>N28</f>
        <v>22</v>
      </c>
      <c r="O51" s="258">
        <f t="shared" si="47"/>
        <v>34</v>
      </c>
      <c r="P51" s="258">
        <f t="shared" si="47"/>
        <v>41</v>
      </c>
      <c r="Q51" s="258">
        <f>IF(Q28="","",Q28)</f>
        <v>45</v>
      </c>
      <c r="R51" s="258">
        <f t="shared" si="47"/>
        <v>50</v>
      </c>
      <c r="S51" s="258">
        <f t="shared" si="47"/>
        <v>55</v>
      </c>
      <c r="T51" s="258">
        <f t="shared" si="47"/>
        <v>57</v>
      </c>
      <c r="U51" s="258">
        <f t="shared" si="47"/>
        <v>57</v>
      </c>
      <c r="V51" s="258" t="str">
        <f t="shared" si="47"/>
        <v/>
      </c>
      <c r="W51" s="361" t="str">
        <f t="shared" si="47"/>
        <v/>
      </c>
      <c r="X51" s="211" t="s">
        <v>120</v>
      </c>
      <c r="Y51" s="279">
        <f t="array" ref="Y51">INDEX($L$4:$W$4,MAX(IF($L51:$W51&lt;&gt;"",COLUMN($L51:$W51)-COLUMN($L$9)+1)))</f>
        <v>43101</v>
      </c>
      <c r="Z51" s="266"/>
      <c r="AA51" s="273">
        <f>L51</f>
        <v>1</v>
      </c>
      <c r="AB51" s="223">
        <f>M51-L51</f>
        <v>15</v>
      </c>
      <c r="AC51" s="222">
        <f t="shared" si="48"/>
        <v>6</v>
      </c>
      <c r="AD51" s="222">
        <f t="shared" si="48"/>
        <v>12</v>
      </c>
      <c r="AE51" s="222">
        <f t="shared" si="48"/>
        <v>7</v>
      </c>
      <c r="AF51" s="222">
        <f t="shared" si="48"/>
        <v>4</v>
      </c>
      <c r="AG51" s="222">
        <f t="shared" si="48"/>
        <v>5</v>
      </c>
      <c r="AH51" s="222">
        <f t="shared" si="48"/>
        <v>5</v>
      </c>
      <c r="AI51" s="222">
        <f t="shared" si="48"/>
        <v>2</v>
      </c>
      <c r="AJ51" s="222">
        <f t="shared" si="48"/>
        <v>0</v>
      </c>
      <c r="AK51" s="222" t="str">
        <f t="shared" si="48"/>
        <v/>
      </c>
      <c r="AL51" s="222" t="str">
        <f t="shared" si="48"/>
        <v/>
      </c>
      <c r="AM51" s="17"/>
      <c r="AN51" s="223"/>
      <c r="AO51" s="224">
        <v>-1</v>
      </c>
      <c r="AP51" s="224" t="e">
        <f>#REF!-AO51</f>
        <v>#REF!</v>
      </c>
      <c r="AQ51" s="224" t="e">
        <f>AB51-#REF!</f>
        <v>#REF!</v>
      </c>
      <c r="AR51" s="224"/>
      <c r="AS51" s="225"/>
      <c r="AT51" s="225"/>
      <c r="AU51" s="224"/>
      <c r="AV51" s="224"/>
      <c r="AW51" s="224"/>
      <c r="AX51" s="224"/>
      <c r="AY51" s="224"/>
      <c r="AZ51" s="224"/>
      <c r="BA51" s="270"/>
      <c r="BC51" s="17"/>
      <c r="BD51" s="224" t="e">
        <f>#REF!-#REF!</f>
        <v>#REF!</v>
      </c>
      <c r="BE51" s="224" t="e">
        <f>AQ51-#REF!</f>
        <v>#REF!</v>
      </c>
      <c r="BF51" s="224"/>
      <c r="BG51" s="225"/>
      <c r="BH51" s="225"/>
      <c r="BI51" s="224"/>
      <c r="BJ51" s="224"/>
      <c r="BK51" s="224"/>
      <c r="BL51" s="224"/>
      <c r="BM51" s="224"/>
      <c r="BN51" s="224"/>
      <c r="BO51" s="224"/>
    </row>
    <row r="52" spans="1:67" ht="22.2" customHeight="1" thickBot="1" x14ac:dyDescent="0.35">
      <c r="A52" s="38" t="s">
        <v>45</v>
      </c>
      <c r="B52" s="39"/>
      <c r="C52" s="185">
        <f>SUM(C50:C51)</f>
        <v>150</v>
      </c>
      <c r="D52" s="237">
        <f>SUM(D50:D51)</f>
        <v>0</v>
      </c>
      <c r="E52" s="40">
        <f>SUM(E50:E51)</f>
        <v>250</v>
      </c>
      <c r="F52" s="44"/>
      <c r="G52" s="44">
        <f>SUM(G50:G51)</f>
        <v>306</v>
      </c>
      <c r="H52" s="44">
        <f ca="1">SUM(H50:H51)</f>
        <v>255</v>
      </c>
      <c r="I52" s="44"/>
      <c r="J52" s="185"/>
      <c r="K52" s="179">
        <f>SUM(K50:K51)</f>
        <v>150</v>
      </c>
      <c r="L52" s="44">
        <f t="shared" ref="L52:W52" si="49">IF(L29="","",L29)</f>
        <v>12</v>
      </c>
      <c r="M52" s="44">
        <f t="shared" si="49"/>
        <v>41</v>
      </c>
      <c r="N52" s="44">
        <f t="shared" si="49"/>
        <v>89</v>
      </c>
      <c r="O52" s="44">
        <f t="shared" si="49"/>
        <v>132</v>
      </c>
      <c r="P52" s="44">
        <f t="shared" si="49"/>
        <v>186</v>
      </c>
      <c r="Q52" s="44">
        <f t="shared" si="49"/>
        <v>195</v>
      </c>
      <c r="R52" s="44">
        <f t="shared" si="49"/>
        <v>239</v>
      </c>
      <c r="S52" s="44">
        <f t="shared" si="49"/>
        <v>246</v>
      </c>
      <c r="T52" s="44">
        <f t="shared" si="49"/>
        <v>248</v>
      </c>
      <c r="U52" s="44">
        <f t="shared" si="49"/>
        <v>255</v>
      </c>
      <c r="V52" s="44" t="str">
        <f t="shared" si="49"/>
        <v/>
      </c>
      <c r="W52" s="44" t="str">
        <f t="shared" si="49"/>
        <v/>
      </c>
      <c r="X52" s="213"/>
      <c r="Y52" s="279">
        <f t="array" ref="Y52">INDEX($L$4:$W$4,MAX(IF($L52:$W52&lt;&gt;"",COLUMN($L52:$W52)-COLUMN($L$9)+1)))</f>
        <v>43101</v>
      </c>
      <c r="Z52" s="266"/>
      <c r="AA52" s="273">
        <f>L52</f>
        <v>12</v>
      </c>
      <c r="AB52" s="247">
        <f>M52-L52</f>
        <v>29</v>
      </c>
      <c r="AC52" s="222">
        <f t="shared" si="48"/>
        <v>48</v>
      </c>
      <c r="AD52" s="222">
        <f t="shared" si="48"/>
        <v>43</v>
      </c>
      <c r="AE52" s="222">
        <f t="shared" si="48"/>
        <v>54</v>
      </c>
      <c r="AF52" s="222">
        <f t="shared" si="48"/>
        <v>9</v>
      </c>
      <c r="AG52" s="222">
        <f t="shared" si="48"/>
        <v>44</v>
      </c>
      <c r="AH52" s="222">
        <f t="shared" si="48"/>
        <v>7</v>
      </c>
      <c r="AI52" s="222">
        <f t="shared" si="48"/>
        <v>2</v>
      </c>
      <c r="AJ52" s="222">
        <f t="shared" si="48"/>
        <v>7</v>
      </c>
      <c r="AK52" s="222" t="str">
        <f t="shared" si="48"/>
        <v/>
      </c>
      <c r="AL52" s="222" t="str">
        <f t="shared" si="48"/>
        <v/>
      </c>
      <c r="AM52" s="17"/>
      <c r="AN52" s="227">
        <f>SUM(AN50:AN51)</f>
        <v>208.33333333333331</v>
      </c>
      <c r="AO52" s="228">
        <v>30.5</v>
      </c>
      <c r="AP52" s="228" t="e">
        <f>#REF!-AO52</f>
        <v>#REF!</v>
      </c>
      <c r="AQ52" s="228" t="e">
        <f>AB52-#REF!</f>
        <v>#REF!</v>
      </c>
      <c r="AR52" s="228"/>
      <c r="AS52" s="229"/>
      <c r="AT52" s="229"/>
      <c r="AU52" s="228"/>
      <c r="AV52" s="228"/>
      <c r="AW52" s="228"/>
      <c r="AX52" s="228"/>
      <c r="AY52" s="228"/>
      <c r="AZ52" s="228"/>
      <c r="BA52" s="271"/>
      <c r="BC52" s="17"/>
      <c r="BD52" s="228" t="e">
        <f>#REF!-#REF!</f>
        <v>#REF!</v>
      </c>
      <c r="BE52" s="228" t="e">
        <f>AQ52-#REF!</f>
        <v>#REF!</v>
      </c>
      <c r="BF52" s="228"/>
      <c r="BG52" s="229"/>
      <c r="BH52" s="229"/>
      <c r="BI52" s="228"/>
      <c r="BJ52" s="228"/>
      <c r="BK52" s="228"/>
      <c r="BL52" s="228"/>
      <c r="BM52" s="228"/>
      <c r="BN52" s="228"/>
      <c r="BO52" s="230"/>
    </row>
    <row r="53" spans="1:67" ht="7.95" customHeight="1" thickBot="1" x14ac:dyDescent="0.3">
      <c r="A53" s="28"/>
      <c r="B53" s="17"/>
      <c r="C53" s="17"/>
      <c r="D53" s="17"/>
      <c r="E53" s="17"/>
      <c r="F53" s="17"/>
      <c r="G53" s="17"/>
      <c r="H53" s="17" t="str">
        <f>IF((SUM(L53:WB53))=0,"",(SUM(L53:WB53)))</f>
        <v/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8"/>
      <c r="X53" s="17"/>
      <c r="Y53" s="279"/>
      <c r="Z53" s="266"/>
      <c r="AA53" s="205"/>
      <c r="AB53" s="205"/>
      <c r="AC53" s="239"/>
      <c r="AD53" s="240"/>
      <c r="AE53" s="240"/>
      <c r="AF53" s="239"/>
      <c r="AG53" s="239"/>
      <c r="AH53" s="239"/>
      <c r="AI53" s="17"/>
      <c r="AJ53" s="17"/>
      <c r="AK53" s="17"/>
      <c r="AL53" s="17"/>
      <c r="AM53" s="17"/>
      <c r="AN53" s="205"/>
      <c r="AO53" s="17"/>
      <c r="AP53" s="17"/>
      <c r="AQ53" s="17"/>
      <c r="AR53" s="17"/>
      <c r="AS53" s="226"/>
      <c r="AT53" s="226"/>
      <c r="AU53" s="17"/>
      <c r="AV53" s="17"/>
      <c r="AW53" s="17"/>
      <c r="AX53" s="17"/>
      <c r="AY53" s="17"/>
      <c r="AZ53" s="17"/>
      <c r="BA53" s="17"/>
      <c r="BC53" s="17"/>
      <c r="BD53" s="17"/>
      <c r="BE53" s="17"/>
      <c r="BF53" s="17"/>
      <c r="BG53" s="226"/>
      <c r="BH53" s="226"/>
      <c r="BI53" s="17"/>
      <c r="BJ53" s="17"/>
      <c r="BK53" s="17"/>
      <c r="BL53" s="17"/>
      <c r="BM53" s="17"/>
      <c r="BN53" s="17"/>
      <c r="BO53" s="17"/>
    </row>
    <row r="54" spans="1:67" ht="22.2" customHeight="1" thickBot="1" x14ac:dyDescent="0.35">
      <c r="A54" s="38" t="s">
        <v>46</v>
      </c>
      <c r="B54" s="39"/>
      <c r="C54" s="185">
        <f>C48+C52</f>
        <v>1022</v>
      </c>
      <c r="D54" s="180">
        <f t="shared" ref="D54:G54" si="50">D48+D52</f>
        <v>824</v>
      </c>
      <c r="E54" s="40">
        <f>E48+E52</f>
        <v>1050</v>
      </c>
      <c r="F54" s="44"/>
      <c r="G54" s="44">
        <f t="shared" si="50"/>
        <v>1042.8</v>
      </c>
      <c r="H54" s="44">
        <f ca="1">H48+H52</f>
        <v>869</v>
      </c>
      <c r="I54" s="44"/>
      <c r="J54" s="185"/>
      <c r="K54" s="179">
        <f t="shared" ref="K54" si="51">K48+K52</f>
        <v>1022</v>
      </c>
      <c r="L54" s="44">
        <f t="shared" ref="L54:W54" si="52">IF(L48="","",L48+L52)</f>
        <v>72</v>
      </c>
      <c r="M54" s="44">
        <f t="shared" si="52"/>
        <v>169</v>
      </c>
      <c r="N54" s="44">
        <f t="shared" si="52"/>
        <v>264</v>
      </c>
      <c r="O54" s="44">
        <f t="shared" si="52"/>
        <v>402</v>
      </c>
      <c r="P54" s="44">
        <f t="shared" si="52"/>
        <v>510</v>
      </c>
      <c r="Q54" s="44">
        <f t="shared" si="52"/>
        <v>571</v>
      </c>
      <c r="R54" s="44">
        <f t="shared" si="52"/>
        <v>672</v>
      </c>
      <c r="S54" s="44">
        <f t="shared" si="52"/>
        <v>755</v>
      </c>
      <c r="T54" s="44">
        <f t="shared" si="52"/>
        <v>798</v>
      </c>
      <c r="U54" s="44">
        <f t="shared" si="52"/>
        <v>869</v>
      </c>
      <c r="V54" s="44" t="str">
        <f t="shared" si="52"/>
        <v/>
      </c>
      <c r="W54" s="44" t="str">
        <f t="shared" si="52"/>
        <v/>
      </c>
      <c r="X54" s="213"/>
      <c r="Y54" s="279">
        <f t="array" ref="Y54">INDEX($L$4:$W$4,MAX(IF($L54:$W54&lt;&gt;"",COLUMN($L54:$W54)-COLUMN($L$9)+1)))</f>
        <v>43101</v>
      </c>
      <c r="Z54" s="266"/>
      <c r="AA54" s="281">
        <f>L54</f>
        <v>72</v>
      </c>
      <c r="AB54" s="247">
        <f>M54-L54</f>
        <v>97</v>
      </c>
      <c r="AC54" s="222">
        <f t="shared" ref="AC54:AL54" si="53">IF(N54="","",(N54-M54))</f>
        <v>95</v>
      </c>
      <c r="AD54" s="222">
        <f t="shared" si="53"/>
        <v>138</v>
      </c>
      <c r="AE54" s="222">
        <f t="shared" si="53"/>
        <v>108</v>
      </c>
      <c r="AF54" s="222">
        <f t="shared" si="53"/>
        <v>61</v>
      </c>
      <c r="AG54" s="222">
        <f t="shared" si="53"/>
        <v>101</v>
      </c>
      <c r="AH54" s="222">
        <f t="shared" si="53"/>
        <v>83</v>
      </c>
      <c r="AI54" s="222">
        <f t="shared" si="53"/>
        <v>43</v>
      </c>
      <c r="AJ54" s="222">
        <f t="shared" si="53"/>
        <v>71</v>
      </c>
      <c r="AK54" s="222" t="str">
        <f t="shared" si="53"/>
        <v/>
      </c>
      <c r="AL54" s="222" t="str">
        <f t="shared" si="53"/>
        <v/>
      </c>
      <c r="AM54" s="17"/>
      <c r="AN54" s="227" t="e">
        <f>AN52+AN48</f>
        <v>#VALUE!</v>
      </c>
      <c r="AO54" s="228">
        <v>84.5</v>
      </c>
      <c r="AP54" s="228" t="e">
        <f>#REF!-AO54</f>
        <v>#REF!</v>
      </c>
      <c r="AQ54" s="228" t="e">
        <f>AB54-#REF!</f>
        <v>#REF!</v>
      </c>
      <c r="AR54" s="228"/>
      <c r="AS54" s="229"/>
      <c r="AT54" s="229"/>
      <c r="AU54" s="228"/>
      <c r="AV54" s="228"/>
      <c r="AW54" s="228"/>
      <c r="AX54" s="228"/>
      <c r="AY54" s="228"/>
      <c r="AZ54" s="228"/>
      <c r="BA54" s="271"/>
      <c r="BC54" s="17"/>
      <c r="BD54" s="228" t="e">
        <f>#REF!-#REF!</f>
        <v>#REF!</v>
      </c>
      <c r="BE54" s="228" t="e">
        <f>AQ54-#REF!</f>
        <v>#REF!</v>
      </c>
      <c r="BF54" s="228"/>
      <c r="BG54" s="229"/>
      <c r="BH54" s="229"/>
      <c r="BI54" s="228"/>
      <c r="BJ54" s="228"/>
      <c r="BK54" s="228"/>
      <c r="BL54" s="228"/>
      <c r="BM54" s="228"/>
      <c r="BN54" s="228"/>
      <c r="BO54" s="230"/>
    </row>
    <row r="55" spans="1:67" ht="22.2" customHeight="1" thickBot="1" x14ac:dyDescent="0.35">
      <c r="A55" s="5" t="s">
        <v>47</v>
      </c>
      <c r="B55" s="6"/>
      <c r="C55" s="6"/>
      <c r="D55" s="6"/>
      <c r="E55" s="6"/>
      <c r="F55" s="6"/>
      <c r="G55" s="6"/>
      <c r="H55" s="6" t="str">
        <f>IF((SUM(L55:WB55))=0,"",(SUM(L55:WB55)))</f>
        <v/>
      </c>
      <c r="I55" s="6"/>
      <c r="J55" s="6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210"/>
      <c r="Y55" s="279"/>
      <c r="Z55" s="266"/>
      <c r="AA55" s="206"/>
      <c r="AB55" s="206"/>
      <c r="AC55" s="241"/>
      <c r="AD55" s="242"/>
      <c r="AE55" s="242"/>
      <c r="AF55" s="241"/>
      <c r="AG55" s="241"/>
      <c r="AH55" s="241"/>
      <c r="AN55" s="206"/>
      <c r="AS55" s="201"/>
      <c r="AT55" s="201"/>
      <c r="BG55" s="201"/>
      <c r="BH55" s="201"/>
    </row>
    <row r="56" spans="1:67" ht="22.2" customHeight="1" x14ac:dyDescent="0.25">
      <c r="A56" s="347" t="s">
        <v>48</v>
      </c>
      <c r="B56" s="17"/>
      <c r="C56" s="17"/>
      <c r="D56" s="17"/>
      <c r="E56" s="17"/>
      <c r="F56" s="17"/>
      <c r="G56" s="17"/>
      <c r="H56" s="17" t="str">
        <f>IF((SUM(L56:WB56))=0,"",(SUM(L56:WB56)))</f>
        <v/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8"/>
      <c r="X56" s="17"/>
      <c r="Y56" s="279"/>
      <c r="Z56" s="266"/>
      <c r="AA56" s="206"/>
      <c r="AB56" s="206"/>
      <c r="AC56" s="241"/>
      <c r="AD56" s="242"/>
      <c r="AE56" s="242"/>
      <c r="AF56" s="241"/>
      <c r="AG56" s="241"/>
      <c r="AH56" s="241"/>
      <c r="AN56" s="206"/>
      <c r="AS56" s="201"/>
      <c r="AT56" s="201"/>
      <c r="BG56" s="201"/>
      <c r="BH56" s="201"/>
    </row>
    <row r="57" spans="1:67" ht="22.2" customHeight="1" x14ac:dyDescent="0.25">
      <c r="A57" s="197" t="s">
        <v>31</v>
      </c>
      <c r="B57" s="103"/>
      <c r="C57" s="187">
        <f>C42</f>
        <v>260</v>
      </c>
      <c r="D57" s="181">
        <v>349</v>
      </c>
      <c r="E57" s="340">
        <v>200</v>
      </c>
      <c r="F57" s="255" t="s">
        <v>111</v>
      </c>
      <c r="G57" s="260">
        <f t="shared" ref="G57:G58" si="54">((INDEX(L57:W57,COUNT(L57:W57))/(COUNT(L57:W57)))*12)</f>
        <v>220.79999999999998</v>
      </c>
      <c r="H57" s="260">
        <f t="array" aca="1" ref="H57" ca="1">(OFFSET(L57,0,MAX((L57:W57&lt;&gt;"")*(COLUMN(L57:W57)))-COLUMN(L57)))</f>
        <v>184</v>
      </c>
      <c r="I57" s="326">
        <f ca="1">IF(H57="","",IF(H57&gt;=AN57,1,IF(AND(H57&lt;AN57,H57&gt;=BC57),2,IF(H57&lt;BC57,3))))</f>
        <v>1</v>
      </c>
      <c r="J57" s="367"/>
      <c r="K57" s="181">
        <f>K42</f>
        <v>260</v>
      </c>
      <c r="L57" s="368">
        <f>L42</f>
        <v>13</v>
      </c>
      <c r="M57" s="103">
        <f>M42</f>
        <v>27</v>
      </c>
      <c r="N57" s="369">
        <f>N42</f>
        <v>42</v>
      </c>
      <c r="O57" s="103">
        <f>IF(O42="","",O42)</f>
        <v>80</v>
      </c>
      <c r="P57" s="103">
        <f t="shared" ref="P57:W57" si="55">IF(P42="","",P42)</f>
        <v>101</v>
      </c>
      <c r="Q57" s="103">
        <f>IF(Q42="","",Q42)</f>
        <v>119</v>
      </c>
      <c r="R57" s="103">
        <f t="shared" si="55"/>
        <v>136</v>
      </c>
      <c r="S57" s="103">
        <f t="shared" si="55"/>
        <v>154</v>
      </c>
      <c r="T57" s="103">
        <f t="shared" si="55"/>
        <v>166</v>
      </c>
      <c r="U57" s="103">
        <f t="shared" si="55"/>
        <v>184</v>
      </c>
      <c r="V57" s="103" t="str">
        <f t="shared" si="55"/>
        <v/>
      </c>
      <c r="W57" s="292" t="str">
        <f t="shared" si="55"/>
        <v/>
      </c>
      <c r="X57" s="259" t="s">
        <v>116</v>
      </c>
      <c r="Y57" s="279">
        <f t="array" ref="Y57">INDEX($L$4:$W$4,MAX(IF($L57:$W57&lt;&gt;"",COLUMN($L57:$W57)-COLUMN($L$9)+1)))</f>
        <v>43101</v>
      </c>
      <c r="Z57" s="266"/>
      <c r="AA57" s="273">
        <f>L57</f>
        <v>13</v>
      </c>
      <c r="AB57" s="222">
        <f>M57-L57</f>
        <v>14</v>
      </c>
      <c r="AC57" s="222">
        <f t="shared" ref="AC57:AL58" si="56">IF(N57="","",(N57-M57))</f>
        <v>15</v>
      </c>
      <c r="AD57" s="222">
        <f t="shared" si="56"/>
        <v>38</v>
      </c>
      <c r="AE57" s="222">
        <f t="shared" si="56"/>
        <v>21</v>
      </c>
      <c r="AF57" s="222">
        <f t="shared" si="56"/>
        <v>18</v>
      </c>
      <c r="AG57" s="222">
        <f t="shared" si="56"/>
        <v>17</v>
      </c>
      <c r="AH57" s="222">
        <f t="shared" si="56"/>
        <v>18</v>
      </c>
      <c r="AI57" s="222">
        <f t="shared" si="56"/>
        <v>12</v>
      </c>
      <c r="AJ57" s="222">
        <f t="shared" si="56"/>
        <v>18</v>
      </c>
      <c r="AK57" s="222" t="str">
        <f t="shared" si="56"/>
        <v/>
      </c>
      <c r="AL57" s="222" t="str">
        <f t="shared" si="56"/>
        <v/>
      </c>
      <c r="AM57" s="17"/>
      <c r="AN57" s="222">
        <f>HLOOKUP(Y57,staggered,54,FALSE)</f>
        <v>166.66666666666669</v>
      </c>
      <c r="AO57" s="218">
        <v>14</v>
      </c>
      <c r="AP57" s="264">
        <f>((VALUE((RIGHT($E$45,5))))/12)</f>
        <v>16.666666666666668</v>
      </c>
      <c r="AQ57" s="264">
        <f>((VALUE((RIGHT($E$45,5))))/12)*2</f>
        <v>33.333333333333336</v>
      </c>
      <c r="AR57" s="264">
        <f>((VALUE((RIGHT($E$45,5))))/12)*3</f>
        <v>50</v>
      </c>
      <c r="AS57" s="264">
        <f>((VALUE((RIGHT($E$45,5))))/12)*4</f>
        <v>66.666666666666671</v>
      </c>
      <c r="AT57" s="264">
        <f>((VALUE((RIGHT($E$45,5))))/12)*5</f>
        <v>83.333333333333343</v>
      </c>
      <c r="AU57" s="264">
        <f>((VALUE((RIGHT($E$45,5))))/12)*6</f>
        <v>100</v>
      </c>
      <c r="AV57" s="264">
        <f>((VALUE((RIGHT($E$45,5))))/12)*7</f>
        <v>116.66666666666667</v>
      </c>
      <c r="AW57" s="264">
        <f>((VALUE((RIGHT($E$45,5))))/12)*8</f>
        <v>133.33333333333334</v>
      </c>
      <c r="AX57" s="264">
        <f>((VALUE((RIGHT($E$45,5))))/12)*9</f>
        <v>150</v>
      </c>
      <c r="AY57" s="264">
        <f>((VALUE((RIGHT($E$45,5))))/12)*10</f>
        <v>166.66666666666669</v>
      </c>
      <c r="AZ57" s="264">
        <f>((VALUE((RIGHT($E$45,5))))/12)*11</f>
        <v>183.33333333333334</v>
      </c>
      <c r="BA57" s="269">
        <f>((VALUE((RIGHT($E$45,5))))/12)*12</f>
        <v>200</v>
      </c>
      <c r="BC57" s="273">
        <f>HLOOKUP(Y57,amber,54,FALSE)</f>
        <v>191.66666666666669</v>
      </c>
      <c r="BD57" s="262">
        <f>230/12</f>
        <v>19.166666666666668</v>
      </c>
      <c r="BE57" s="262">
        <f>(230/12)*2</f>
        <v>38.333333333333336</v>
      </c>
      <c r="BF57" s="262">
        <f>(230/12)*3</f>
        <v>57.5</v>
      </c>
      <c r="BG57" s="262">
        <f>(230/12)*4</f>
        <v>76.666666666666671</v>
      </c>
      <c r="BH57" s="262">
        <f>(230/12)*5</f>
        <v>95.833333333333343</v>
      </c>
      <c r="BI57" s="262">
        <f>(230/12)*6</f>
        <v>115</v>
      </c>
      <c r="BJ57" s="262">
        <f>(230/12)*7</f>
        <v>134.16666666666669</v>
      </c>
      <c r="BK57" s="262">
        <f>(230/12)*8</f>
        <v>153.33333333333334</v>
      </c>
      <c r="BL57" s="262">
        <f>(230/12)*9</f>
        <v>172.5</v>
      </c>
      <c r="BM57" s="262">
        <f>(230/12)*10</f>
        <v>191.66666666666669</v>
      </c>
      <c r="BN57" s="262">
        <f>(230/12)*11</f>
        <v>210.83333333333334</v>
      </c>
      <c r="BO57" s="262">
        <f>(230/12)*12</f>
        <v>230</v>
      </c>
    </row>
    <row r="58" spans="1:67" ht="22.2" customHeight="1" thickBot="1" x14ac:dyDescent="0.3">
      <c r="A58" s="364" t="s">
        <v>49</v>
      </c>
      <c r="B58" s="365"/>
      <c r="C58" s="291">
        <v>705</v>
      </c>
      <c r="D58" s="181">
        <v>750</v>
      </c>
      <c r="E58" s="340">
        <v>800</v>
      </c>
      <c r="F58" s="255" t="s">
        <v>111</v>
      </c>
      <c r="G58" s="260">
        <f t="shared" si="54"/>
        <v>404.40000000000003</v>
      </c>
      <c r="H58" s="260">
        <f t="array" aca="1" ref="H58" ca="1">(OFFSET(L58,0,MAX((L58:W58&lt;&gt;"")*(COLUMN(L58:W58)))-COLUMN(L58)))</f>
        <v>337</v>
      </c>
      <c r="I58" s="326">
        <f ca="1">IF(H58="","",IF(H58&gt;=AN58,1,IF(AND(H58&lt;AN58,H58&gt;=BC58),2,IF(H58&lt;BC58,3))))</f>
        <v>3</v>
      </c>
      <c r="J58" s="367"/>
      <c r="K58" s="181">
        <v>705</v>
      </c>
      <c r="L58" s="191">
        <v>28</v>
      </c>
      <c r="M58" s="103">
        <v>59</v>
      </c>
      <c r="N58" s="103">
        <v>75</v>
      </c>
      <c r="O58" s="103">
        <v>110</v>
      </c>
      <c r="P58" s="103">
        <v>131</v>
      </c>
      <c r="Q58" s="103">
        <v>149</v>
      </c>
      <c r="R58" s="103">
        <v>165</v>
      </c>
      <c r="S58" s="103">
        <v>212</v>
      </c>
      <c r="T58" s="103">
        <v>274</v>
      </c>
      <c r="U58" s="103">
        <v>337</v>
      </c>
      <c r="V58" s="103"/>
      <c r="W58" s="292"/>
      <c r="X58" s="211"/>
      <c r="Y58" s="279">
        <f t="array" ref="Y58">INDEX($L$4:$W$4,MAX(IF($L58:$W58&lt;&gt;"",COLUMN($L58:$W58)-COLUMN($L$9)+1)))</f>
        <v>43101</v>
      </c>
      <c r="Z58" s="266"/>
      <c r="AA58" s="273">
        <f>L58</f>
        <v>28</v>
      </c>
      <c r="AB58" s="222">
        <f>M58-L58</f>
        <v>31</v>
      </c>
      <c r="AC58" s="222">
        <f t="shared" si="56"/>
        <v>16</v>
      </c>
      <c r="AD58" s="222">
        <f t="shared" si="56"/>
        <v>35</v>
      </c>
      <c r="AE58" s="222">
        <f t="shared" si="56"/>
        <v>21</v>
      </c>
      <c r="AF58" s="222">
        <f t="shared" si="56"/>
        <v>18</v>
      </c>
      <c r="AG58" s="222">
        <f t="shared" si="56"/>
        <v>16</v>
      </c>
      <c r="AH58" s="222">
        <f t="shared" si="56"/>
        <v>47</v>
      </c>
      <c r="AI58" s="222">
        <f t="shared" si="56"/>
        <v>62</v>
      </c>
      <c r="AJ58" s="222">
        <f t="shared" si="56"/>
        <v>63</v>
      </c>
      <c r="AK58" s="222" t="str">
        <f t="shared" si="56"/>
        <v/>
      </c>
      <c r="AL58" s="222" t="str">
        <f t="shared" si="56"/>
        <v/>
      </c>
      <c r="AM58" s="17"/>
      <c r="AN58" s="222">
        <f>HLOOKUP(Y58,staggered,55,FALSE)</f>
        <v>666.66666666666674</v>
      </c>
      <c r="AO58" s="234">
        <v>54</v>
      </c>
      <c r="AP58" s="269">
        <f>((VALUE((RIGHT($E$48,5))))/12)</f>
        <v>66.666666666666671</v>
      </c>
      <c r="AQ58" s="269">
        <f>((VALUE((RIGHT($E$48,5))))/12)*2</f>
        <v>133.33333333333334</v>
      </c>
      <c r="AR58" s="269">
        <f>((VALUE((RIGHT($E$48,5))))/12)*3</f>
        <v>200</v>
      </c>
      <c r="AS58" s="269">
        <f>((VALUE((RIGHT($E$48,5))))/12)*4</f>
        <v>266.66666666666669</v>
      </c>
      <c r="AT58" s="269">
        <f>((VALUE((RIGHT($E$48,5))))/12)*5</f>
        <v>333.33333333333337</v>
      </c>
      <c r="AU58" s="269">
        <f>((VALUE((RIGHT($E$48,5))))/12)*6</f>
        <v>400</v>
      </c>
      <c r="AV58" s="269">
        <f>((VALUE((RIGHT($E$48,5))))/12)*7</f>
        <v>466.66666666666669</v>
      </c>
      <c r="AW58" s="269">
        <f>((VALUE((RIGHT($E$48,5))))/12)*8</f>
        <v>533.33333333333337</v>
      </c>
      <c r="AX58" s="269">
        <f>((VALUE((RIGHT($E$48,5))))/12)*9</f>
        <v>600</v>
      </c>
      <c r="AY58" s="269">
        <f>((VALUE((RIGHT($E$48,5))))/12)*10</f>
        <v>666.66666666666674</v>
      </c>
      <c r="AZ58" s="269">
        <f>((VALUE((RIGHT($E$48,5))))/12)*11</f>
        <v>733.33333333333337</v>
      </c>
      <c r="BA58" s="269">
        <f>((VALUE((RIGHT($E$48,5))))/12)*12</f>
        <v>800</v>
      </c>
      <c r="BC58" s="273">
        <f>HLOOKUP(Y58,amber,55,FALSE)</f>
        <v>625</v>
      </c>
      <c r="BD58" s="262">
        <f>750/12</f>
        <v>62.5</v>
      </c>
      <c r="BE58" s="262">
        <f>(750/12)*2</f>
        <v>125</v>
      </c>
      <c r="BF58" s="262">
        <f>(750/12)*3</f>
        <v>187.5</v>
      </c>
      <c r="BG58" s="262">
        <f>(750/12)*4</f>
        <v>250</v>
      </c>
      <c r="BH58" s="262">
        <f>(750/12)*5</f>
        <v>312.5</v>
      </c>
      <c r="BI58" s="262">
        <f>(750/12)*6</f>
        <v>375</v>
      </c>
      <c r="BJ58" s="262">
        <f>(750/12)*7</f>
        <v>437.5</v>
      </c>
      <c r="BK58" s="262">
        <f>(750/12)*8</f>
        <v>500</v>
      </c>
      <c r="BL58" s="262">
        <f>(750/12)*9</f>
        <v>562.5</v>
      </c>
      <c r="BM58" s="262">
        <f>(750/12)*10</f>
        <v>625</v>
      </c>
      <c r="BN58" s="262">
        <f>(750/12)*11</f>
        <v>687.5</v>
      </c>
      <c r="BO58" s="262">
        <f>(750/12)*12</f>
        <v>750</v>
      </c>
    </row>
    <row r="59" spans="1:67" ht="7.95" customHeight="1" x14ac:dyDescent="0.25">
      <c r="A59" s="28"/>
      <c r="B59" s="17"/>
      <c r="C59" s="17"/>
      <c r="D59" s="17"/>
      <c r="E59" s="17"/>
      <c r="F59" s="17"/>
      <c r="G59" s="17"/>
      <c r="H59" s="17"/>
      <c r="J59" s="17"/>
      <c r="K59" s="18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17"/>
      <c r="Y59" s="279"/>
      <c r="Z59" s="266"/>
      <c r="AA59" s="205"/>
      <c r="AB59" s="205"/>
      <c r="AC59" s="239"/>
      <c r="AD59" s="240"/>
      <c r="AE59" s="240"/>
      <c r="AF59" s="239"/>
      <c r="AG59" s="239"/>
      <c r="AH59" s="239"/>
      <c r="AI59" s="17"/>
      <c r="AJ59" s="17"/>
      <c r="AK59" s="17"/>
      <c r="AL59" s="17"/>
      <c r="AM59" s="17"/>
      <c r="AN59" s="205"/>
      <c r="AO59" s="17"/>
      <c r="AP59" s="17"/>
      <c r="AQ59" s="17"/>
      <c r="AR59" s="17"/>
      <c r="AS59" s="226"/>
      <c r="AT59" s="226"/>
      <c r="AU59" s="17"/>
      <c r="AV59" s="17"/>
      <c r="AW59" s="17"/>
      <c r="AX59" s="17"/>
      <c r="AY59" s="17"/>
      <c r="AZ59" s="17"/>
      <c r="BA59" s="17"/>
      <c r="BC59" s="17"/>
      <c r="BD59" s="17"/>
      <c r="BE59" s="17"/>
      <c r="BF59" s="17"/>
      <c r="BG59" s="226"/>
      <c r="BH59" s="226"/>
      <c r="BI59" s="17"/>
      <c r="BJ59" s="17"/>
      <c r="BK59" s="17"/>
      <c r="BL59" s="17"/>
      <c r="BM59" s="17"/>
      <c r="BN59" s="17"/>
      <c r="BO59" s="17"/>
    </row>
    <row r="60" spans="1:67" s="59" customFormat="1" ht="27.6" x14ac:dyDescent="0.25">
      <c r="A60" s="302" t="s">
        <v>145</v>
      </c>
      <c r="B60" s="103"/>
      <c r="C60" s="183">
        <v>299</v>
      </c>
      <c r="D60" s="181">
        <v>600</v>
      </c>
      <c r="E60" s="340">
        <v>400</v>
      </c>
      <c r="F60" s="255" t="s">
        <v>111</v>
      </c>
      <c r="G60" s="260">
        <f t="shared" ref="G60" si="57">((INDEX(L60:W60,COUNT(L60:W60))/(COUNT(L60:W60)))*12)</f>
        <v>109.19999999999999</v>
      </c>
      <c r="H60" s="260">
        <f t="array" aca="1" ref="H60" ca="1">(OFFSET(L60,0,MAX((L60:W60&lt;&gt;"")*(COLUMN(L60:W60)))-COLUMN(L60)))</f>
        <v>91</v>
      </c>
      <c r="I60" s="326">
        <f ca="1">IF(H60="","",IF(H60&gt;=AN60,1,IF(AND(H60&lt;AN60,H60&gt;=BC60),2,IF(H60&lt;BC60,3))))</f>
        <v>3</v>
      </c>
      <c r="J60" s="324"/>
      <c r="K60" s="366">
        <v>299</v>
      </c>
      <c r="L60" s="370">
        <f t="shared" ref="L60:R60" si="58">IF(OR(L58="",L46=""),"",L58-L46)</f>
        <v>0</v>
      </c>
      <c r="M60" s="371">
        <f t="shared" si="58"/>
        <v>3</v>
      </c>
      <c r="N60" s="371">
        <f t="shared" si="58"/>
        <v>3</v>
      </c>
      <c r="O60" s="371">
        <f t="shared" si="58"/>
        <v>3</v>
      </c>
      <c r="P60" s="371">
        <f t="shared" si="58"/>
        <v>3</v>
      </c>
      <c r="Q60" s="371">
        <f t="shared" si="58"/>
        <v>3</v>
      </c>
      <c r="R60" s="371">
        <f t="shared" si="58"/>
        <v>3</v>
      </c>
      <c r="S60" s="371">
        <f>IF(OR(S58="",S46=""),"",S58-S46)</f>
        <v>12</v>
      </c>
      <c r="T60" s="371">
        <f>IF(OR(T58="",T46=""),"",T58-T46)</f>
        <v>58</v>
      </c>
      <c r="U60" s="371">
        <f t="shared" ref="U60:W60" si="59">IF(OR(U58="",U46=""),"",U58-U46)</f>
        <v>91</v>
      </c>
      <c r="V60" s="371" t="str">
        <f t="shared" si="59"/>
        <v/>
      </c>
      <c r="W60" s="372" t="str">
        <f t="shared" si="59"/>
        <v/>
      </c>
      <c r="X60" s="214"/>
      <c r="Y60" s="279">
        <f t="array" ref="Y60">INDEX($L$4:$W$4,MAX(IF($L60:$W60&lt;&gt;"",COLUMN($L60:$W60)-COLUMN($L$9)+1)))</f>
        <v>43101</v>
      </c>
      <c r="Z60" s="266"/>
      <c r="AA60" s="273">
        <f>L60</f>
        <v>0</v>
      </c>
      <c r="AB60" s="222">
        <f>M60-L60</f>
        <v>3</v>
      </c>
      <c r="AC60" s="222">
        <f t="shared" ref="AC60:AL60" si="60">IF(N60="","",(N60-M60))</f>
        <v>0</v>
      </c>
      <c r="AD60" s="222">
        <f t="shared" si="60"/>
        <v>0</v>
      </c>
      <c r="AE60" s="222">
        <f t="shared" si="60"/>
        <v>0</v>
      </c>
      <c r="AF60" s="222">
        <f t="shared" si="60"/>
        <v>0</v>
      </c>
      <c r="AG60" s="222">
        <f t="shared" si="60"/>
        <v>0</v>
      </c>
      <c r="AH60" s="222">
        <f t="shared" si="60"/>
        <v>9</v>
      </c>
      <c r="AI60" s="222">
        <f t="shared" si="60"/>
        <v>46</v>
      </c>
      <c r="AJ60" s="222">
        <f t="shared" si="60"/>
        <v>33</v>
      </c>
      <c r="AK60" s="222" t="str">
        <f t="shared" si="60"/>
        <v/>
      </c>
      <c r="AL60" s="222" t="str">
        <f t="shared" si="60"/>
        <v/>
      </c>
      <c r="AM60" s="17"/>
      <c r="AN60" s="222">
        <f>HLOOKUP(Y60,staggered,57,FALSE)</f>
        <v>333.33333333333337</v>
      </c>
      <c r="AO60" s="224">
        <v>22</v>
      </c>
      <c r="AP60" s="264">
        <f>((VALUE((RIGHT($E$46,5))))/12)</f>
        <v>33.333333333333336</v>
      </c>
      <c r="AQ60" s="264">
        <f>((VALUE((RIGHT($E$46,5))))/12)*2</f>
        <v>66.666666666666671</v>
      </c>
      <c r="AR60" s="264">
        <f>((VALUE((RIGHT($E$46,5))))/12)*3</f>
        <v>100</v>
      </c>
      <c r="AS60" s="264">
        <f>((VALUE((RIGHT($E$46,5))))/12)*4</f>
        <v>133.33333333333334</v>
      </c>
      <c r="AT60" s="264">
        <f>((VALUE((RIGHT($E$46,5))))/12)*5</f>
        <v>166.66666666666669</v>
      </c>
      <c r="AU60" s="264">
        <f>((VALUE((RIGHT($E$46,5))))/12)*6</f>
        <v>200</v>
      </c>
      <c r="AV60" s="264">
        <f>((VALUE((RIGHT($E$46,5))))/12)*7</f>
        <v>233.33333333333334</v>
      </c>
      <c r="AW60" s="264">
        <f>((VALUE((RIGHT($E$46,5))))/12)*8</f>
        <v>266.66666666666669</v>
      </c>
      <c r="AX60" s="264">
        <f>((VALUE((RIGHT($E$46,5))))/12)*9</f>
        <v>300</v>
      </c>
      <c r="AY60" s="264">
        <f>((VALUE((RIGHT($E$46,5))))/12)*10</f>
        <v>333.33333333333337</v>
      </c>
      <c r="AZ60" s="264">
        <f>((VALUE((RIGHT($E$46,5))))/12)*11</f>
        <v>366.66666666666669</v>
      </c>
      <c r="BA60" s="269">
        <f>((VALUE((RIGHT($E$46,5))))/12)*12</f>
        <v>400</v>
      </c>
      <c r="BB60" s="239"/>
      <c r="BC60" s="273">
        <f>HLOOKUP(Y60,amber,57,FALSE)</f>
        <v>375</v>
      </c>
      <c r="BD60" s="262">
        <f>450/12</f>
        <v>37.5</v>
      </c>
      <c r="BE60" s="262">
        <f>(450/12)*2</f>
        <v>75</v>
      </c>
      <c r="BF60" s="262">
        <f>(450/12)*3</f>
        <v>112.5</v>
      </c>
      <c r="BG60" s="262">
        <f>(450/12)*4</f>
        <v>150</v>
      </c>
      <c r="BH60" s="262">
        <f>(450/12)*5</f>
        <v>187.5</v>
      </c>
      <c r="BI60" s="262">
        <f>(450/12)*6</f>
        <v>225</v>
      </c>
      <c r="BJ60" s="262">
        <f>(450/12)*7</f>
        <v>262.5</v>
      </c>
      <c r="BK60" s="262">
        <f>(450/12)*8</f>
        <v>300</v>
      </c>
      <c r="BL60" s="262">
        <f>(450/12)*9</f>
        <v>337.5</v>
      </c>
      <c r="BM60" s="262">
        <f>(450/12)*10</f>
        <v>375</v>
      </c>
      <c r="BN60" s="262">
        <f>(450/12)*11</f>
        <v>412.5</v>
      </c>
      <c r="BO60" s="262">
        <f>(450/12)*12</f>
        <v>450</v>
      </c>
    </row>
    <row r="61" spans="1:67" ht="7.95" customHeight="1" thickBot="1" x14ac:dyDescent="0.3">
      <c r="A61" s="28"/>
      <c r="B61" s="17"/>
      <c r="C61" s="17"/>
      <c r="D61" s="17"/>
      <c r="E61" s="17"/>
      <c r="F61" s="17"/>
      <c r="G61" s="17"/>
      <c r="H61" s="17" t="str">
        <f>IF((SUM(L61:WB61))=0,"",(SUM(L61:WB61)))</f>
        <v/>
      </c>
      <c r="J61" s="17"/>
      <c r="K61" s="18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8"/>
      <c r="X61" s="17"/>
      <c r="Y61" s="279"/>
      <c r="Z61" s="266"/>
      <c r="AA61" s="206"/>
      <c r="AB61" s="206"/>
      <c r="AC61" s="241"/>
      <c r="AD61" s="242"/>
      <c r="AE61" s="242"/>
      <c r="AF61" s="241"/>
      <c r="AG61" s="241"/>
      <c r="AH61" s="241"/>
      <c r="AN61" s="206"/>
      <c r="AS61" s="201"/>
      <c r="AT61" s="201"/>
      <c r="BG61" s="201"/>
      <c r="BH61" s="201"/>
    </row>
    <row r="62" spans="1:67" s="79" customFormat="1" ht="31.95" customHeight="1" thickBot="1" x14ac:dyDescent="0.35">
      <c r="A62" s="71" t="s">
        <v>51</v>
      </c>
      <c r="B62" s="72"/>
      <c r="C62" s="186">
        <f>SUM(C57+C58)</f>
        <v>965</v>
      </c>
      <c r="D62" s="186">
        <f t="shared" ref="D62" si="61">SUM(D57+D58)</f>
        <v>1099</v>
      </c>
      <c r="E62" s="77">
        <f>SUM(E57+E58)</f>
        <v>1000</v>
      </c>
      <c r="F62" s="78"/>
      <c r="G62" s="78">
        <f>SUM(G57+G58)</f>
        <v>625.20000000000005</v>
      </c>
      <c r="H62" s="78">
        <f t="shared" ref="H62" ca="1" si="62">SUM(H57+H58)</f>
        <v>521</v>
      </c>
      <c r="I62" s="78"/>
      <c r="J62" s="185"/>
      <c r="K62" s="373">
        <f>SUM(K57+K58)</f>
        <v>965</v>
      </c>
      <c r="L62" s="78">
        <f t="shared" ref="L62:W62" si="63">IF(L57="","",L57+L58)</f>
        <v>41</v>
      </c>
      <c r="M62" s="78">
        <f t="shared" si="63"/>
        <v>86</v>
      </c>
      <c r="N62" s="78">
        <f t="shared" si="63"/>
        <v>117</v>
      </c>
      <c r="O62" s="78">
        <f t="shared" si="63"/>
        <v>190</v>
      </c>
      <c r="P62" s="78">
        <f t="shared" si="63"/>
        <v>232</v>
      </c>
      <c r="Q62" s="78">
        <f t="shared" si="63"/>
        <v>268</v>
      </c>
      <c r="R62" s="78">
        <f t="shared" si="63"/>
        <v>301</v>
      </c>
      <c r="S62" s="78">
        <f t="shared" si="63"/>
        <v>366</v>
      </c>
      <c r="T62" s="78">
        <f t="shared" si="63"/>
        <v>440</v>
      </c>
      <c r="U62" s="78">
        <f t="shared" si="63"/>
        <v>521</v>
      </c>
      <c r="V62" s="78" t="str">
        <f t="shared" si="63"/>
        <v/>
      </c>
      <c r="W62" s="78" t="str">
        <f t="shared" si="63"/>
        <v/>
      </c>
      <c r="X62" s="215"/>
      <c r="Y62" s="279">
        <f t="array" ref="Y62">INDEX($L$4:$W$4,MAX(IF($L62:$W62&lt;&gt;"",COLUMN($L62:$W62)-COLUMN($L$9)+1)))</f>
        <v>43101</v>
      </c>
      <c r="Z62" s="266"/>
      <c r="AA62" s="281">
        <f>L62</f>
        <v>41</v>
      </c>
      <c r="AB62" s="247">
        <f>M62-L62</f>
        <v>45</v>
      </c>
      <c r="AC62" s="222">
        <f t="shared" ref="AC62:AL62" si="64">IF(N62="","",(N62-M62))</f>
        <v>31</v>
      </c>
      <c r="AD62" s="222">
        <f t="shared" si="64"/>
        <v>73</v>
      </c>
      <c r="AE62" s="222">
        <f t="shared" si="64"/>
        <v>42</v>
      </c>
      <c r="AF62" s="222">
        <f t="shared" si="64"/>
        <v>36</v>
      </c>
      <c r="AG62" s="222">
        <f t="shared" si="64"/>
        <v>33</v>
      </c>
      <c r="AH62" s="222">
        <f t="shared" si="64"/>
        <v>65</v>
      </c>
      <c r="AI62" s="222">
        <f t="shared" si="64"/>
        <v>74</v>
      </c>
      <c r="AJ62" s="222">
        <f t="shared" si="64"/>
        <v>81</v>
      </c>
      <c r="AK62" s="222" t="str">
        <f t="shared" si="64"/>
        <v/>
      </c>
      <c r="AL62" s="222" t="str">
        <f t="shared" si="64"/>
        <v/>
      </c>
      <c r="AM62" s="17"/>
      <c r="AN62" s="227">
        <f>SUM(AN57:AN58)</f>
        <v>833.33333333333348</v>
      </c>
      <c r="AO62" s="228">
        <v>77</v>
      </c>
      <c r="AP62" s="228" t="e">
        <f>#REF!-AO62</f>
        <v>#REF!</v>
      </c>
      <c r="AQ62" s="228" t="e">
        <f>AB62-#REF!</f>
        <v>#REF!</v>
      </c>
      <c r="AR62" s="228"/>
      <c r="AS62" s="229"/>
      <c r="AT62" s="229"/>
      <c r="AU62" s="228"/>
      <c r="AV62" s="228"/>
      <c r="AW62" s="228"/>
      <c r="AX62" s="228"/>
      <c r="AY62" s="228"/>
      <c r="AZ62" s="228"/>
      <c r="BA62" s="271"/>
      <c r="BB62" s="239"/>
      <c r="BC62" s="17"/>
      <c r="BD62" s="228" t="e">
        <f>#REF!-#REF!</f>
        <v>#REF!</v>
      </c>
      <c r="BE62" s="228" t="e">
        <f>AQ62-#REF!</f>
        <v>#REF!</v>
      </c>
      <c r="BF62" s="228"/>
      <c r="BG62" s="229"/>
      <c r="BH62" s="229"/>
      <c r="BI62" s="228"/>
      <c r="BJ62" s="228"/>
      <c r="BK62" s="228"/>
      <c r="BL62" s="228"/>
      <c r="BM62" s="228"/>
      <c r="BN62" s="228"/>
      <c r="BO62" s="230"/>
    </row>
    <row r="63" spans="1:67" ht="7.95" customHeight="1" thickBot="1" x14ac:dyDescent="0.3">
      <c r="A63" s="28"/>
      <c r="B63" s="17"/>
      <c r="C63" s="17"/>
      <c r="D63" s="17"/>
      <c r="E63" s="17"/>
      <c r="F63" s="17"/>
      <c r="G63" s="17"/>
      <c r="H63" s="17" t="str">
        <f>IF((SUM(L63:WB63))=0,"",(SUM(L63:WB63)))</f>
        <v/>
      </c>
      <c r="J63" s="17"/>
      <c r="K63" s="18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8"/>
      <c r="X63" s="17"/>
      <c r="Y63" s="279"/>
      <c r="Z63" s="266"/>
      <c r="AA63" s="206"/>
      <c r="AB63" s="206"/>
      <c r="AC63" s="241"/>
      <c r="AD63" s="242"/>
      <c r="AE63" s="242"/>
      <c r="AF63" s="241"/>
      <c r="AG63" s="241"/>
      <c r="AH63" s="241"/>
      <c r="AN63" s="206"/>
      <c r="AS63" s="201"/>
      <c r="AT63" s="201"/>
      <c r="BG63" s="201"/>
      <c r="BH63" s="201"/>
    </row>
    <row r="64" spans="1:67" ht="22.2" customHeight="1" thickBot="1" x14ac:dyDescent="0.35">
      <c r="A64" s="5" t="s">
        <v>52</v>
      </c>
      <c r="B64" s="6"/>
      <c r="C64" s="6"/>
      <c r="D64" s="6"/>
      <c r="E64" s="6"/>
      <c r="F64" s="6"/>
      <c r="G64" s="6"/>
      <c r="H64" s="6" t="str">
        <f>IF((SUM(L64:WB64))=0,"",(SUM(L64:WB64)))</f>
        <v/>
      </c>
      <c r="I64" s="6"/>
      <c r="J64" s="6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210"/>
      <c r="Y64" s="279"/>
      <c r="Z64" s="266"/>
      <c r="AA64" s="206"/>
      <c r="AB64" s="206"/>
      <c r="AC64" s="241"/>
      <c r="AD64" s="242"/>
      <c r="AE64" s="242"/>
      <c r="AF64" s="241"/>
      <c r="AG64" s="241"/>
      <c r="AH64" s="241"/>
      <c r="AN64" s="206"/>
      <c r="AS64" s="201"/>
      <c r="AT64" s="201"/>
      <c r="BG64" s="201"/>
      <c r="BH64" s="201"/>
    </row>
    <row r="65" spans="1:67" ht="24" hidden="1" customHeight="1" x14ac:dyDescent="0.25">
      <c r="A65" s="80"/>
      <c r="B65" s="81"/>
      <c r="C65" s="182"/>
      <c r="D65" s="172"/>
      <c r="E65" s="172"/>
      <c r="F65" s="172"/>
      <c r="G65" s="83"/>
      <c r="H65" s="84">
        <f>IF((SUM(L65:WB65))=0,"",(SUM(L65:WB65)))</f>
        <v>42826</v>
      </c>
      <c r="I65" s="84"/>
      <c r="J65" s="13"/>
      <c r="K65" s="18"/>
      <c r="M65" s="17"/>
      <c r="N65" s="17"/>
      <c r="O65" s="17"/>
      <c r="P65" s="17"/>
      <c r="Q65" s="17"/>
      <c r="R65" s="17"/>
      <c r="S65" s="17"/>
      <c r="T65" s="86"/>
      <c r="U65" s="17"/>
      <c r="V65" s="17"/>
      <c r="W65" s="18"/>
      <c r="X65" s="17"/>
      <c r="Y65" s="279">
        <f t="array" ref="Y65">INDEX($L$4:$W$4,MAX(IF($L65:$W65&lt;&gt;"",COLUMN($L65:$W65)-COLUMN($L$9)+1)))</f>
        <v>42826</v>
      </c>
      <c r="Z65" s="266"/>
      <c r="AA65" s="206"/>
      <c r="AB65" s="206"/>
      <c r="AC65" s="241"/>
      <c r="AD65" s="242"/>
      <c r="AE65" s="242"/>
      <c r="AF65" s="241"/>
      <c r="AG65" s="241"/>
      <c r="AH65" s="241"/>
      <c r="AN65" s="206"/>
      <c r="AS65" s="201"/>
      <c r="AT65" s="201"/>
      <c r="BG65" s="201"/>
      <c r="BH65" s="201"/>
    </row>
    <row r="66" spans="1:67" ht="22.2" customHeight="1" x14ac:dyDescent="0.25">
      <c r="A66" s="97" t="s">
        <v>53</v>
      </c>
      <c r="C66" s="17"/>
      <c r="D66" s="17"/>
      <c r="E66" s="17"/>
      <c r="F66" s="17"/>
      <c r="G66" s="17"/>
      <c r="H66" s="17" t="str">
        <f>IF((SUM(L66:WB66))=0,"",(SUM(L66:WB66)))</f>
        <v/>
      </c>
      <c r="J66" s="17"/>
      <c r="K66" s="18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8"/>
      <c r="X66" s="17"/>
      <c r="Y66" s="279"/>
      <c r="Z66" s="266"/>
      <c r="AA66" s="206"/>
      <c r="AB66" s="206"/>
      <c r="AC66" s="241"/>
      <c r="AD66" s="242"/>
      <c r="AE66" s="242"/>
      <c r="AF66" s="241"/>
      <c r="AG66" s="241"/>
      <c r="AH66" s="241"/>
      <c r="AN66" s="206"/>
      <c r="AS66" s="201"/>
      <c r="AT66" s="201"/>
      <c r="BG66" s="201"/>
      <c r="BH66" s="201"/>
    </row>
    <row r="67" spans="1:67" ht="22.2" customHeight="1" x14ac:dyDescent="0.25">
      <c r="A67" s="197" t="s">
        <v>32</v>
      </c>
      <c r="B67" s="103"/>
      <c r="C67" s="187">
        <v>153</v>
      </c>
      <c r="D67" s="181">
        <v>112</v>
      </c>
      <c r="E67" s="285">
        <v>183</v>
      </c>
      <c r="F67" s="101" t="s">
        <v>111</v>
      </c>
      <c r="G67" s="101">
        <f t="shared" ref="G67:G69" si="65">((INDEX(L67:W67,COUNT(L67:W67))/(COUNT(L67:W67)))*12)</f>
        <v>133.19999999999999</v>
      </c>
      <c r="H67" s="260">
        <f t="array" aca="1" ref="H67" ca="1">(OFFSET(L67,0,MAX((L67:W67&lt;&gt;"")*(COLUMN(L67:W67)))-COLUMN(L67)))</f>
        <v>111</v>
      </c>
      <c r="I67" s="326">
        <f ca="1">IF(H67="","",IF(H67&gt;=AN67,1,IF(AND(H67&lt;AN67,H67&gt;=BC67),2,IF(H67&lt;BC67,3))))</f>
        <v>3</v>
      </c>
      <c r="J67" s="324"/>
      <c r="K67" s="181">
        <v>153</v>
      </c>
      <c r="L67" s="191">
        <v>9</v>
      </c>
      <c r="M67" s="103">
        <v>18</v>
      </c>
      <c r="N67" s="103">
        <v>33</v>
      </c>
      <c r="O67" s="103">
        <v>47</v>
      </c>
      <c r="P67" s="103">
        <v>58</v>
      </c>
      <c r="Q67" s="103">
        <v>73</v>
      </c>
      <c r="R67" s="103">
        <v>84</v>
      </c>
      <c r="S67" s="103">
        <v>91</v>
      </c>
      <c r="T67" s="103">
        <v>101</v>
      </c>
      <c r="U67" s="103">
        <v>111</v>
      </c>
      <c r="V67" s="103"/>
      <c r="W67" s="292"/>
      <c r="X67" s="211"/>
      <c r="Y67" s="279">
        <f t="array" ref="Y67">INDEX($L$4:$W$4,MAX(IF($L67:$W67&lt;&gt;"",COLUMN($L67:$W67)-COLUMN($L$9)+1)))</f>
        <v>43101</v>
      </c>
      <c r="Z67" s="266"/>
      <c r="AA67" s="273">
        <f>L67</f>
        <v>9</v>
      </c>
      <c r="AB67" s="222">
        <f>M67-L67</f>
        <v>9</v>
      </c>
      <c r="AC67" s="222">
        <f t="shared" ref="AC67:AL69" si="66">IF(N67="","",(N67-M67))</f>
        <v>15</v>
      </c>
      <c r="AD67" s="222">
        <f t="shared" si="66"/>
        <v>14</v>
      </c>
      <c r="AE67" s="222">
        <f t="shared" si="66"/>
        <v>11</v>
      </c>
      <c r="AF67" s="222">
        <f t="shared" si="66"/>
        <v>15</v>
      </c>
      <c r="AG67" s="222">
        <f t="shared" si="66"/>
        <v>11</v>
      </c>
      <c r="AH67" s="222">
        <f t="shared" si="66"/>
        <v>7</v>
      </c>
      <c r="AI67" s="222">
        <f t="shared" si="66"/>
        <v>10</v>
      </c>
      <c r="AJ67" s="222">
        <f t="shared" si="66"/>
        <v>10</v>
      </c>
      <c r="AK67" s="222" t="str">
        <f t="shared" si="66"/>
        <v/>
      </c>
      <c r="AL67" s="222" t="str">
        <f t="shared" si="66"/>
        <v/>
      </c>
      <c r="AM67" s="17"/>
      <c r="AN67" s="222">
        <f>HLOOKUP(Y67,staggered,64,FALSE)</f>
        <v>152.5</v>
      </c>
      <c r="AO67" s="218"/>
      <c r="AP67" s="264">
        <f>((VALUE((RIGHT(E67,5))))/12)</f>
        <v>15.25</v>
      </c>
      <c r="AQ67" s="264">
        <f>((VALUE((RIGHT(E67,5))))/12)*2</f>
        <v>30.5</v>
      </c>
      <c r="AR67" s="264">
        <f>((VALUE((RIGHT(E67,5))))/12)*3</f>
        <v>45.75</v>
      </c>
      <c r="AS67" s="264">
        <f>((VALUE((RIGHT(E67,5))))/12)*4</f>
        <v>61</v>
      </c>
      <c r="AT67" s="264">
        <f>((VALUE((RIGHT(E67,5))))/12)*5</f>
        <v>76.25</v>
      </c>
      <c r="AU67" s="264">
        <f>((VALUE((RIGHT(E67,5))))/12)*6</f>
        <v>91.5</v>
      </c>
      <c r="AV67" s="264">
        <f>((VALUE((RIGHT(E67,5))))/12)*7</f>
        <v>106.75</v>
      </c>
      <c r="AW67" s="264">
        <f>((VALUE((RIGHT(E67,5))))/12)*8</f>
        <v>122</v>
      </c>
      <c r="AX67" s="264">
        <f>((VALUE((RIGHT(E67,5))))/12)*9</f>
        <v>137.25</v>
      </c>
      <c r="AY67" s="264">
        <f>((VALUE((RIGHT(E67,5))))/12)*10</f>
        <v>152.5</v>
      </c>
      <c r="AZ67" s="264">
        <f>((VALUE((RIGHT(E67,5))))/12)*11</f>
        <v>167.75</v>
      </c>
      <c r="BA67" s="269">
        <f>((VALUE((RIGHT(E67,5))))/12)*12</f>
        <v>183</v>
      </c>
      <c r="BC67" s="273">
        <f>HLOOKUP(Y67,amber,64,FALSE)</f>
        <v>133.33333333333334</v>
      </c>
      <c r="BD67" s="262">
        <f>160/12</f>
        <v>13.333333333333334</v>
      </c>
      <c r="BE67" s="262">
        <f>(160/12)*2</f>
        <v>26.666666666666668</v>
      </c>
      <c r="BF67" s="262">
        <f>(160/12)*3</f>
        <v>40</v>
      </c>
      <c r="BG67" s="262">
        <f>(160/12)*4</f>
        <v>53.333333333333336</v>
      </c>
      <c r="BH67" s="262">
        <f>(160/12)*5</f>
        <v>66.666666666666671</v>
      </c>
      <c r="BI67" s="262">
        <f>(160/12)*6</f>
        <v>80</v>
      </c>
      <c r="BJ67" s="262">
        <f>(160/12)*7</f>
        <v>93.333333333333343</v>
      </c>
      <c r="BK67" s="262">
        <f>(160/12)*8</f>
        <v>106.66666666666667</v>
      </c>
      <c r="BL67" s="262">
        <f>(160/12)*9</f>
        <v>120</v>
      </c>
      <c r="BM67" s="262">
        <f>(160/12)*10</f>
        <v>133.33333333333334</v>
      </c>
      <c r="BN67" s="262">
        <f>(160/12)*11</f>
        <v>146.66666666666669</v>
      </c>
      <c r="BO67" s="262">
        <f>(160/12)*12</f>
        <v>160</v>
      </c>
    </row>
    <row r="68" spans="1:67" ht="22.2" customHeight="1" x14ac:dyDescent="0.25">
      <c r="A68" s="197" t="s">
        <v>33</v>
      </c>
      <c r="B68" s="103"/>
      <c r="C68" s="187">
        <v>13</v>
      </c>
      <c r="D68" s="181">
        <v>11</v>
      </c>
      <c r="E68" s="285">
        <v>18</v>
      </c>
      <c r="F68" s="101" t="s">
        <v>111</v>
      </c>
      <c r="G68" s="101">
        <f t="shared" si="65"/>
        <v>25.200000000000003</v>
      </c>
      <c r="H68" s="260">
        <f t="array" aca="1" ref="H68" ca="1">(OFFSET(L68,0,MAX((L68:W68&lt;&gt;"")*(COLUMN(L68:W68)))-COLUMN(L68)))</f>
        <v>21</v>
      </c>
      <c r="I68" s="326">
        <f t="shared" ref="I68:I69" ca="1" si="67">IF(H68="","",IF(H68&gt;=AN68,1,IF(AND(H68&lt;AN68,H68&gt;=BC68),2,IF(H68&lt;BC68,3))))</f>
        <v>1</v>
      </c>
      <c r="J68" s="324"/>
      <c r="K68" s="181">
        <v>13</v>
      </c>
      <c r="L68" s="191">
        <v>5</v>
      </c>
      <c r="M68" s="103">
        <v>10</v>
      </c>
      <c r="N68" s="103">
        <v>12</v>
      </c>
      <c r="O68" s="103">
        <v>18</v>
      </c>
      <c r="P68" s="103">
        <v>20</v>
      </c>
      <c r="Q68" s="103">
        <v>21</v>
      </c>
      <c r="R68" s="103">
        <v>21</v>
      </c>
      <c r="S68" s="103">
        <v>21</v>
      </c>
      <c r="T68" s="103">
        <v>21</v>
      </c>
      <c r="U68" s="103">
        <v>21</v>
      </c>
      <c r="V68" s="103"/>
      <c r="W68" s="292"/>
      <c r="X68" s="211"/>
      <c r="Y68" s="279">
        <f t="array" ref="Y68">INDEX($L$4:$W$4,MAX(IF($L68:$W68&lt;&gt;"",COLUMN($L68:$W68)-COLUMN($L$9)+1)))</f>
        <v>43101</v>
      </c>
      <c r="Z68" s="266"/>
      <c r="AA68" s="273">
        <f>L68</f>
        <v>5</v>
      </c>
      <c r="AB68" s="222">
        <f>M68-L68</f>
        <v>5</v>
      </c>
      <c r="AC68" s="222">
        <f t="shared" si="66"/>
        <v>2</v>
      </c>
      <c r="AD68" s="222">
        <f t="shared" si="66"/>
        <v>6</v>
      </c>
      <c r="AE68" s="222">
        <f t="shared" si="66"/>
        <v>2</v>
      </c>
      <c r="AF68" s="222">
        <f t="shared" si="66"/>
        <v>1</v>
      </c>
      <c r="AG68" s="222">
        <f t="shared" si="66"/>
        <v>0</v>
      </c>
      <c r="AH68" s="222">
        <f t="shared" si="66"/>
        <v>0</v>
      </c>
      <c r="AI68" s="222">
        <f t="shared" si="66"/>
        <v>0</v>
      </c>
      <c r="AJ68" s="222">
        <f t="shared" si="66"/>
        <v>0</v>
      </c>
      <c r="AK68" s="222" t="str">
        <f t="shared" si="66"/>
        <v/>
      </c>
      <c r="AL68" s="222" t="str">
        <f t="shared" si="66"/>
        <v/>
      </c>
      <c r="AM68" s="17"/>
      <c r="AN68" s="222">
        <f>HLOOKUP(Y68,staggered,65,FALSE)</f>
        <v>15</v>
      </c>
      <c r="AO68" s="218"/>
      <c r="AP68" s="264">
        <f t="shared" ref="AP68:AP69" si="68">((VALUE((RIGHT(E68,5))))/12)</f>
        <v>1.5</v>
      </c>
      <c r="AQ68" s="264">
        <f t="shared" ref="AQ68:AQ69" si="69">((VALUE((RIGHT(E68,5))))/12)*2</f>
        <v>3</v>
      </c>
      <c r="AR68" s="264">
        <f t="shared" ref="AR68:AR69" si="70">((VALUE((RIGHT(E68,5))))/12)*3</f>
        <v>4.5</v>
      </c>
      <c r="AS68" s="264">
        <f t="shared" ref="AS68:AS69" si="71">((VALUE((RIGHT(E68,5))))/12)*4</f>
        <v>6</v>
      </c>
      <c r="AT68" s="264">
        <f t="shared" ref="AT68:AT69" si="72">((VALUE((RIGHT(E68,5))))/12)*5</f>
        <v>7.5</v>
      </c>
      <c r="AU68" s="264">
        <f t="shared" ref="AU68:AU69" si="73">((VALUE((RIGHT(E68,5))))/12)*6</f>
        <v>9</v>
      </c>
      <c r="AV68" s="264">
        <f t="shared" ref="AV68:AV69" si="74">((VALUE((RIGHT(E68,5))))/12)*7</f>
        <v>10.5</v>
      </c>
      <c r="AW68" s="264">
        <f t="shared" ref="AW68:AW69" si="75">((VALUE((RIGHT(E68,5))))/12)*8</f>
        <v>12</v>
      </c>
      <c r="AX68" s="264">
        <f t="shared" ref="AX68:AX69" si="76">((VALUE((RIGHT(E68,5))))/12)*9</f>
        <v>13.5</v>
      </c>
      <c r="AY68" s="264">
        <f t="shared" ref="AY68:AY69" si="77">((VALUE((RIGHT(E68,5))))/12)*10</f>
        <v>15</v>
      </c>
      <c r="AZ68" s="264">
        <f t="shared" ref="AZ68:AZ69" si="78">((VALUE((RIGHT(E68,5))))/12)*11</f>
        <v>16.5</v>
      </c>
      <c r="BA68" s="269">
        <f t="shared" ref="BA68:BA69" si="79">((VALUE((RIGHT(E68,5))))/12)*12</f>
        <v>18</v>
      </c>
      <c r="BC68" s="273">
        <f>HLOOKUP(Y68,amber,65,FALSE)</f>
        <v>10</v>
      </c>
      <c r="BD68" s="262">
        <f>12/12</f>
        <v>1</v>
      </c>
      <c r="BE68" s="262">
        <f>(12/12)*2</f>
        <v>2</v>
      </c>
      <c r="BF68" s="262">
        <f>(12/12)*3</f>
        <v>3</v>
      </c>
      <c r="BG68" s="262">
        <f>(12/12)*4</f>
        <v>4</v>
      </c>
      <c r="BH68" s="262">
        <f>(12/12)*5</f>
        <v>5</v>
      </c>
      <c r="BI68" s="262">
        <f>(12/12)*6</f>
        <v>6</v>
      </c>
      <c r="BJ68" s="262">
        <f>(12/12)*7</f>
        <v>7</v>
      </c>
      <c r="BK68" s="262">
        <f>(12/12)*8</f>
        <v>8</v>
      </c>
      <c r="BL68" s="262">
        <f>(12/12)*9</f>
        <v>9</v>
      </c>
      <c r="BM68" s="262">
        <f>(12/12)*10</f>
        <v>10</v>
      </c>
      <c r="BN68" s="262">
        <f>(12/12)*11</f>
        <v>11</v>
      </c>
      <c r="BO68" s="262">
        <f>(12/12)*12</f>
        <v>12</v>
      </c>
    </row>
    <row r="69" spans="1:67" ht="22.2" customHeight="1" x14ac:dyDescent="0.25">
      <c r="A69" s="197" t="s">
        <v>34</v>
      </c>
      <c r="B69" s="103"/>
      <c r="C69" s="187">
        <v>99</v>
      </c>
      <c r="D69" s="181">
        <v>30</v>
      </c>
      <c r="E69" s="285">
        <v>49</v>
      </c>
      <c r="F69" s="101" t="s">
        <v>111</v>
      </c>
      <c r="G69" s="101">
        <f t="shared" si="65"/>
        <v>87.6</v>
      </c>
      <c r="H69" s="260">
        <f t="array" aca="1" ref="H69" ca="1">(OFFSET(L69,0,MAX((L69:W69&lt;&gt;"")*(COLUMN(L69:W69)))-COLUMN(L69)))</f>
        <v>73</v>
      </c>
      <c r="I69" s="326">
        <f t="shared" ca="1" si="67"/>
        <v>1</v>
      </c>
      <c r="J69" s="324"/>
      <c r="K69" s="181">
        <v>99</v>
      </c>
      <c r="L69" s="191">
        <v>12</v>
      </c>
      <c r="M69" s="103">
        <v>22</v>
      </c>
      <c r="N69" s="103">
        <v>33</v>
      </c>
      <c r="O69" s="103">
        <v>41</v>
      </c>
      <c r="P69" s="103">
        <v>50</v>
      </c>
      <c r="Q69" s="103">
        <v>54</v>
      </c>
      <c r="R69" s="103">
        <v>60</v>
      </c>
      <c r="S69" s="103">
        <v>66</v>
      </c>
      <c r="T69" s="103">
        <v>69</v>
      </c>
      <c r="U69" s="103">
        <v>73</v>
      </c>
      <c r="V69" s="103"/>
      <c r="W69" s="292"/>
      <c r="X69" s="211"/>
      <c r="Y69" s="279">
        <f t="array" ref="Y69">INDEX($L$4:$W$4,MAX(IF($L69:$W69&lt;&gt;"",COLUMN($L69:$W69)-COLUMN($L$9)+1)))</f>
        <v>43101</v>
      </c>
      <c r="Z69" s="266"/>
      <c r="AA69" s="273">
        <f>L69</f>
        <v>12</v>
      </c>
      <c r="AB69" s="222">
        <f>M69-L69</f>
        <v>10</v>
      </c>
      <c r="AC69" s="222">
        <f t="shared" si="66"/>
        <v>11</v>
      </c>
      <c r="AD69" s="222">
        <f t="shared" si="66"/>
        <v>8</v>
      </c>
      <c r="AE69" s="222">
        <f t="shared" si="66"/>
        <v>9</v>
      </c>
      <c r="AF69" s="222">
        <f t="shared" si="66"/>
        <v>4</v>
      </c>
      <c r="AG69" s="222">
        <f t="shared" si="66"/>
        <v>6</v>
      </c>
      <c r="AH69" s="222">
        <f t="shared" si="66"/>
        <v>6</v>
      </c>
      <c r="AI69" s="222">
        <f t="shared" si="66"/>
        <v>3</v>
      </c>
      <c r="AJ69" s="222">
        <f t="shared" si="66"/>
        <v>4</v>
      </c>
      <c r="AK69" s="222" t="str">
        <f t="shared" si="66"/>
        <v/>
      </c>
      <c r="AL69" s="222" t="str">
        <f t="shared" si="66"/>
        <v/>
      </c>
      <c r="AM69" s="17"/>
      <c r="AN69" s="222">
        <f>HLOOKUP(Y69,staggered,66,FALSE)</f>
        <v>40.833333333333329</v>
      </c>
      <c r="AO69" s="218"/>
      <c r="AP69" s="264">
        <f t="shared" si="68"/>
        <v>4.083333333333333</v>
      </c>
      <c r="AQ69" s="264">
        <f t="shared" si="69"/>
        <v>8.1666666666666661</v>
      </c>
      <c r="AR69" s="264">
        <f t="shared" si="70"/>
        <v>12.25</v>
      </c>
      <c r="AS69" s="264">
        <f t="shared" si="71"/>
        <v>16.333333333333332</v>
      </c>
      <c r="AT69" s="264">
        <f t="shared" si="72"/>
        <v>20.416666666666664</v>
      </c>
      <c r="AU69" s="264">
        <f t="shared" si="73"/>
        <v>24.5</v>
      </c>
      <c r="AV69" s="264">
        <f t="shared" si="74"/>
        <v>28.583333333333332</v>
      </c>
      <c r="AW69" s="264">
        <f t="shared" si="75"/>
        <v>32.666666666666664</v>
      </c>
      <c r="AX69" s="264">
        <f t="shared" si="76"/>
        <v>36.75</v>
      </c>
      <c r="AY69" s="264">
        <f t="shared" si="77"/>
        <v>40.833333333333329</v>
      </c>
      <c r="AZ69" s="264">
        <f t="shared" si="78"/>
        <v>44.916666666666664</v>
      </c>
      <c r="BA69" s="269">
        <f t="shared" si="79"/>
        <v>49</v>
      </c>
      <c r="BC69" s="273">
        <f>HLOOKUP(Y69,amber,66,FALSE)</f>
        <v>25</v>
      </c>
      <c r="BD69" s="262">
        <f>30/12</f>
        <v>2.5</v>
      </c>
      <c r="BE69" s="262">
        <f>(30/12)*2</f>
        <v>5</v>
      </c>
      <c r="BF69" s="262">
        <f>(30/12)*3</f>
        <v>7.5</v>
      </c>
      <c r="BG69" s="262">
        <f>(30/12)*4</f>
        <v>10</v>
      </c>
      <c r="BH69" s="262">
        <f>(30/12)*5</f>
        <v>12.5</v>
      </c>
      <c r="BI69" s="262">
        <f>(30/12)*6</f>
        <v>15</v>
      </c>
      <c r="BJ69" s="262">
        <f>(30/12)*7</f>
        <v>17.5</v>
      </c>
      <c r="BK69" s="262">
        <f>(30/12)*8</f>
        <v>20</v>
      </c>
      <c r="BL69" s="262">
        <f>(30/12)*9</f>
        <v>22.5</v>
      </c>
      <c r="BM69" s="262">
        <f>(30/12)*10</f>
        <v>25</v>
      </c>
      <c r="BN69" s="262">
        <f>(30/12)*11</f>
        <v>27.5</v>
      </c>
      <c r="BO69" s="262">
        <f>(30/12)*12</f>
        <v>30</v>
      </c>
    </row>
    <row r="70" spans="1:67" ht="7.95" customHeight="1" x14ac:dyDescent="0.25">
      <c r="A70" s="28"/>
      <c r="B70" s="17"/>
      <c r="C70" s="17"/>
      <c r="D70" s="17"/>
      <c r="E70" s="17"/>
      <c r="F70" s="17"/>
      <c r="G70" s="17"/>
      <c r="H70" s="239" t="str">
        <f>IF((SUM(L70:WB70))=0,"",(SUM(L70:WB70)))</f>
        <v/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  <c r="X70" s="17"/>
      <c r="Y70" s="279"/>
      <c r="Z70" s="266"/>
      <c r="AA70" s="206"/>
      <c r="AB70" s="206"/>
      <c r="AC70" s="241"/>
      <c r="AD70" s="242"/>
      <c r="AE70" s="242"/>
      <c r="AF70" s="241"/>
      <c r="AG70" s="241"/>
      <c r="AH70" s="241"/>
      <c r="AN70" s="206"/>
      <c r="AS70" s="201"/>
      <c r="AT70" s="201"/>
      <c r="BG70" s="201"/>
      <c r="BH70" s="201"/>
    </row>
    <row r="71" spans="1:67" ht="27.6" x14ac:dyDescent="0.25">
      <c r="A71" s="302" t="s">
        <v>155</v>
      </c>
      <c r="B71" s="103"/>
      <c r="C71" s="187">
        <v>28</v>
      </c>
      <c r="D71" s="181"/>
      <c r="E71" s="340"/>
      <c r="F71" s="101"/>
      <c r="G71" s="101">
        <f t="shared" ref="G71" si="80">((INDEX(L71:W71,COUNT(L71:W71))/(COUNT(L71:W71)))*12)</f>
        <v>30</v>
      </c>
      <c r="H71" s="260">
        <f t="array" aca="1" ref="H71" ca="1">(OFFSET(L71,0,MAX((L71:W71&lt;&gt;"")*(COLUMN(L71:W71)))-COLUMN(L71)))</f>
        <v>25</v>
      </c>
      <c r="I71" s="101"/>
      <c r="J71" s="324"/>
      <c r="K71" s="181">
        <v>28</v>
      </c>
      <c r="L71" s="191">
        <v>2</v>
      </c>
      <c r="M71" s="103">
        <v>2</v>
      </c>
      <c r="N71" s="103">
        <v>4</v>
      </c>
      <c r="O71" s="103">
        <v>6</v>
      </c>
      <c r="P71" s="103">
        <v>8</v>
      </c>
      <c r="Q71" s="103">
        <v>12</v>
      </c>
      <c r="R71" s="103">
        <v>16</v>
      </c>
      <c r="S71" s="103">
        <v>19</v>
      </c>
      <c r="T71" s="103">
        <v>23</v>
      </c>
      <c r="U71" s="103">
        <v>25</v>
      </c>
      <c r="V71" s="103"/>
      <c r="W71" s="292"/>
      <c r="X71" s="211"/>
      <c r="Y71" s="279">
        <f t="array" ref="Y71">INDEX($L$4:$W$4,MAX(IF($L71:$W71&lt;&gt;"",COLUMN($L71:$W71)-COLUMN($L$9)+1)))</f>
        <v>43101</v>
      </c>
      <c r="Z71" s="266"/>
      <c r="AA71" s="273">
        <f>L71</f>
        <v>2</v>
      </c>
      <c r="AB71" s="222">
        <f>M71-L71</f>
        <v>0</v>
      </c>
      <c r="AC71" s="222">
        <f>IF(N71="","",(N71-M71))</f>
        <v>2</v>
      </c>
      <c r="AD71" s="222">
        <f t="shared" ref="AD71:AL71" si="81">IF(O71="","",(O71-N71))</f>
        <v>2</v>
      </c>
      <c r="AE71" s="222">
        <f t="shared" si="81"/>
        <v>2</v>
      </c>
      <c r="AF71" s="222">
        <f t="shared" si="81"/>
        <v>4</v>
      </c>
      <c r="AG71" s="222">
        <f t="shared" si="81"/>
        <v>4</v>
      </c>
      <c r="AH71" s="222">
        <f t="shared" si="81"/>
        <v>3</v>
      </c>
      <c r="AI71" s="222">
        <f t="shared" si="81"/>
        <v>4</v>
      </c>
      <c r="AJ71" s="222">
        <f t="shared" si="81"/>
        <v>2</v>
      </c>
      <c r="AK71" s="222" t="str">
        <f t="shared" si="81"/>
        <v/>
      </c>
      <c r="AL71" s="222" t="str">
        <f t="shared" si="81"/>
        <v/>
      </c>
      <c r="AM71" s="17"/>
      <c r="AN71" s="222"/>
      <c r="AO71" s="218">
        <v>0.5</v>
      </c>
      <c r="AP71" s="218" t="e">
        <f>#REF!-AO71</f>
        <v>#REF!</v>
      </c>
      <c r="AQ71" s="218" t="e">
        <f>AB71-#REF!</f>
        <v>#REF!</v>
      </c>
      <c r="AR71" s="218"/>
      <c r="AS71" s="220"/>
      <c r="AT71" s="220"/>
      <c r="AU71" s="218"/>
      <c r="AV71" s="218"/>
      <c r="AW71" s="218"/>
      <c r="AX71" s="218"/>
      <c r="AY71" s="218"/>
      <c r="AZ71" s="218"/>
      <c r="BA71" s="34"/>
      <c r="BC71" s="17"/>
      <c r="BD71" s="218" t="e">
        <f>#REF!-#REF!</f>
        <v>#REF!</v>
      </c>
      <c r="BE71" s="218" t="e">
        <f>AQ71-#REF!</f>
        <v>#REF!</v>
      </c>
      <c r="BF71" s="218"/>
      <c r="BG71" s="220"/>
      <c r="BH71" s="220"/>
      <c r="BI71" s="218"/>
      <c r="BJ71" s="218"/>
      <c r="BK71" s="218"/>
      <c r="BL71" s="218"/>
      <c r="BM71" s="218"/>
      <c r="BN71" s="218"/>
      <c r="BO71" s="218"/>
    </row>
    <row r="72" spans="1:67" ht="7.95" customHeight="1" x14ac:dyDescent="0.25">
      <c r="A72" s="28"/>
      <c r="B72" s="17"/>
      <c r="C72" s="17"/>
      <c r="D72" s="17"/>
      <c r="E72" s="17"/>
      <c r="F72" s="17"/>
      <c r="G72" s="17"/>
      <c r="H72" s="239" t="str">
        <f>IF((SUM(L72:WB72))=0,"",(SUM(L72:WB72)))</f>
        <v/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  <c r="X72" s="17"/>
      <c r="Y72" s="279"/>
      <c r="Z72" s="266"/>
      <c r="AA72" s="206"/>
      <c r="AB72" s="206"/>
      <c r="AC72" s="241"/>
      <c r="AD72" s="242"/>
      <c r="AE72" s="242"/>
      <c r="AF72" s="241"/>
      <c r="AG72" s="241"/>
      <c r="AH72" s="241"/>
      <c r="AN72" s="206"/>
      <c r="AS72" s="201"/>
      <c r="AT72" s="201"/>
      <c r="BG72" s="201"/>
      <c r="BH72" s="201"/>
    </row>
    <row r="73" spans="1:67" ht="22.2" customHeight="1" x14ac:dyDescent="0.25">
      <c r="A73" s="197" t="s">
        <v>152</v>
      </c>
      <c r="B73" s="103"/>
      <c r="C73" s="187">
        <v>72</v>
      </c>
      <c r="D73" s="181">
        <v>90</v>
      </c>
      <c r="E73" s="340">
        <v>70</v>
      </c>
      <c r="F73" s="101"/>
      <c r="G73" s="101">
        <f t="shared" ref="G73" si="82">((INDEX(L73:W73,COUNT(L73:W73))/(COUNT(L73:W73)))*12)</f>
        <v>54</v>
      </c>
      <c r="H73" s="260">
        <f t="array" aca="1" ref="H73" ca="1">(OFFSET(L73,0,MAX((L73:W73&lt;&gt;"")*(COLUMN(L73:W73)))-COLUMN(L73)))</f>
        <v>45</v>
      </c>
      <c r="I73" s="101"/>
      <c r="J73" s="324"/>
      <c r="K73" s="181">
        <v>72</v>
      </c>
      <c r="L73" s="191">
        <v>6</v>
      </c>
      <c r="M73" s="103">
        <v>9</v>
      </c>
      <c r="N73" s="103">
        <v>16</v>
      </c>
      <c r="O73" s="103">
        <v>22</v>
      </c>
      <c r="P73" s="103">
        <v>26</v>
      </c>
      <c r="Q73" s="103">
        <v>32</v>
      </c>
      <c r="R73" s="103">
        <v>36</v>
      </c>
      <c r="S73" s="103">
        <v>37</v>
      </c>
      <c r="T73" s="103">
        <f>12+29</f>
        <v>41</v>
      </c>
      <c r="U73" s="103">
        <v>45</v>
      </c>
      <c r="V73" s="103"/>
      <c r="W73" s="292"/>
      <c r="X73" s="211"/>
      <c r="Y73" s="279">
        <f t="array" ref="Y73">INDEX($L$4:$W$4,MAX(IF($L73:$W73&lt;&gt;"",COLUMN($L73:$W73)-COLUMN($L$9)+1)))</f>
        <v>43101</v>
      </c>
      <c r="Z73" s="266"/>
      <c r="AA73" s="273">
        <f>L73</f>
        <v>6</v>
      </c>
      <c r="AB73" s="222">
        <f>M73-L73</f>
        <v>3</v>
      </c>
      <c r="AC73" s="222">
        <f>IF(N73="","",(N73-M73))</f>
        <v>7</v>
      </c>
      <c r="AD73" s="222">
        <f t="shared" ref="AD73:AL73" si="83">IF(O73="","",(O73-N73))</f>
        <v>6</v>
      </c>
      <c r="AE73" s="222">
        <f t="shared" si="83"/>
        <v>4</v>
      </c>
      <c r="AF73" s="222">
        <f t="shared" si="83"/>
        <v>6</v>
      </c>
      <c r="AG73" s="222">
        <f t="shared" si="83"/>
        <v>4</v>
      </c>
      <c r="AH73" s="222">
        <f t="shared" si="83"/>
        <v>1</v>
      </c>
      <c r="AI73" s="222">
        <f t="shared" si="83"/>
        <v>4</v>
      </c>
      <c r="AJ73" s="222">
        <f t="shared" si="83"/>
        <v>4</v>
      </c>
      <c r="AK73" s="222" t="str">
        <f t="shared" si="83"/>
        <v/>
      </c>
      <c r="AL73" s="222" t="str">
        <f t="shared" si="83"/>
        <v/>
      </c>
      <c r="AM73" s="17"/>
      <c r="AN73" s="222"/>
      <c r="AO73" s="218">
        <v>6.5</v>
      </c>
      <c r="AP73" s="218" t="e">
        <f>#REF!-AO73</f>
        <v>#REF!</v>
      </c>
      <c r="AQ73" s="218" t="e">
        <f>AB73-#REF!</f>
        <v>#REF!</v>
      </c>
      <c r="AR73" s="218"/>
      <c r="AS73" s="220"/>
      <c r="AT73" s="220"/>
      <c r="AU73" s="218"/>
      <c r="AV73" s="218"/>
      <c r="AW73" s="218"/>
      <c r="AX73" s="218"/>
      <c r="AY73" s="218"/>
      <c r="AZ73" s="218"/>
      <c r="BA73" s="34"/>
      <c r="BC73" s="17"/>
      <c r="BD73" s="218" t="e">
        <f>#REF!-#REF!</f>
        <v>#REF!</v>
      </c>
      <c r="BE73" s="218" t="e">
        <f>AQ73-#REF!</f>
        <v>#REF!</v>
      </c>
      <c r="BF73" s="218"/>
      <c r="BG73" s="220"/>
      <c r="BH73" s="220"/>
      <c r="BI73" s="218"/>
      <c r="BJ73" s="218"/>
      <c r="BK73" s="218"/>
      <c r="BL73" s="218"/>
      <c r="BM73" s="218"/>
      <c r="BN73" s="218"/>
      <c r="BO73" s="218"/>
    </row>
    <row r="74" spans="1:67" ht="7.95" customHeight="1" x14ac:dyDescent="0.25">
      <c r="A74" s="28"/>
      <c r="B74" s="17"/>
      <c r="C74" s="17"/>
      <c r="D74" s="17"/>
      <c r="E74" s="17"/>
      <c r="F74" s="17"/>
      <c r="G74" s="17"/>
      <c r="H74" s="239" t="str">
        <f>IF((SUM(L74:WB74))=0,"",(SUM(L74:WB74)))</f>
        <v/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8"/>
      <c r="X74" s="17"/>
      <c r="Y74" s="279"/>
      <c r="Z74" s="266"/>
      <c r="AA74" s="206"/>
      <c r="AB74" s="206"/>
      <c r="AC74" s="241"/>
      <c r="AD74" s="242"/>
      <c r="AE74" s="242"/>
      <c r="AF74" s="241"/>
      <c r="AG74" s="241"/>
      <c r="AH74" s="241"/>
      <c r="AN74" s="206"/>
      <c r="AS74" s="201"/>
      <c r="AT74" s="201"/>
      <c r="BG74" s="201"/>
      <c r="BH74" s="201"/>
    </row>
    <row r="75" spans="1:67" ht="22.2" customHeight="1" thickBot="1" x14ac:dyDescent="0.3">
      <c r="A75" s="337" t="s">
        <v>56</v>
      </c>
      <c r="B75" s="258"/>
      <c r="C75" s="338">
        <v>33</v>
      </c>
      <c r="D75" s="181"/>
      <c r="E75" s="356"/>
      <c r="F75" s="343"/>
      <c r="G75" s="343">
        <f t="shared" ref="G75" si="84">((INDEX(L75:W75,COUNT(L75:W75))/(COUNT(L75:W75)))*12)</f>
        <v>49.199999999999996</v>
      </c>
      <c r="H75" s="344">
        <f t="array" aca="1" ref="H75" ca="1">(OFFSET(L75,0,MAX((L75:W75&lt;&gt;"")*(COLUMN(L75:W75)))-COLUMN(L75)))</f>
        <v>41</v>
      </c>
      <c r="I75" s="343"/>
      <c r="J75" s="345"/>
      <c r="K75" s="181">
        <v>33</v>
      </c>
      <c r="L75" s="363">
        <v>11</v>
      </c>
      <c r="M75" s="317">
        <v>13</v>
      </c>
      <c r="N75" s="317">
        <v>21</v>
      </c>
      <c r="O75" s="317">
        <v>23</v>
      </c>
      <c r="P75" s="317">
        <v>28</v>
      </c>
      <c r="Q75" s="317">
        <v>35</v>
      </c>
      <c r="R75" s="317">
        <v>36</v>
      </c>
      <c r="S75" s="317">
        <v>37</v>
      </c>
      <c r="T75" s="317">
        <v>39</v>
      </c>
      <c r="U75" s="317">
        <v>41</v>
      </c>
      <c r="V75" s="317"/>
      <c r="W75" s="330"/>
      <c r="X75" s="211"/>
      <c r="Y75" s="279">
        <f t="array" ref="Y75">INDEX($L$4:$W$4,MAX(IF($L75:$W75&lt;&gt;"",COLUMN($L75:$W75)-COLUMN($L$9)+1)))</f>
        <v>43101</v>
      </c>
      <c r="Z75" s="266"/>
      <c r="AA75" s="280">
        <f>L75</f>
        <v>11</v>
      </c>
      <c r="AB75" s="223">
        <f>M75-L75</f>
        <v>2</v>
      </c>
      <c r="AC75" s="222">
        <f>IF(N75="","",(N75-M75))</f>
        <v>8</v>
      </c>
      <c r="AD75" s="222">
        <f t="shared" ref="AD75:AL76" si="85">IF(O75="","",(O75-N75))</f>
        <v>2</v>
      </c>
      <c r="AE75" s="222">
        <f t="shared" si="85"/>
        <v>5</v>
      </c>
      <c r="AF75" s="222">
        <f t="shared" si="85"/>
        <v>7</v>
      </c>
      <c r="AG75" s="222">
        <f t="shared" si="85"/>
        <v>1</v>
      </c>
      <c r="AH75" s="222">
        <f t="shared" si="85"/>
        <v>1</v>
      </c>
      <c r="AI75" s="222">
        <f t="shared" si="85"/>
        <v>2</v>
      </c>
      <c r="AJ75" s="222">
        <f t="shared" si="85"/>
        <v>2</v>
      </c>
      <c r="AK75" s="222" t="str">
        <f t="shared" si="85"/>
        <v/>
      </c>
      <c r="AL75" s="222" t="str">
        <f t="shared" si="85"/>
        <v/>
      </c>
      <c r="AM75" s="17"/>
      <c r="AN75" s="223"/>
      <c r="AO75" s="224">
        <v>2</v>
      </c>
      <c r="AP75" s="224" t="e">
        <f>#REF!-AO75</f>
        <v>#REF!</v>
      </c>
      <c r="AQ75" s="224" t="e">
        <f>AB75-#REF!</f>
        <v>#REF!</v>
      </c>
      <c r="AR75" s="224"/>
      <c r="AS75" s="225"/>
      <c r="AT75" s="225"/>
      <c r="AU75" s="224"/>
      <c r="AV75" s="224"/>
      <c r="AW75" s="224"/>
      <c r="AX75" s="224"/>
      <c r="AY75" s="224"/>
      <c r="AZ75" s="224"/>
      <c r="BA75" s="270"/>
      <c r="BC75" s="17"/>
      <c r="BD75" s="224" t="e">
        <f>#REF!-#REF!</f>
        <v>#REF!</v>
      </c>
      <c r="BE75" s="224" t="e">
        <f>AQ75-#REF!</f>
        <v>#REF!</v>
      </c>
      <c r="BF75" s="224"/>
      <c r="BG75" s="225"/>
      <c r="BH75" s="225"/>
      <c r="BI75" s="224"/>
      <c r="BJ75" s="224"/>
      <c r="BK75" s="224"/>
      <c r="BL75" s="224"/>
      <c r="BM75" s="224"/>
      <c r="BN75" s="224"/>
      <c r="BO75" s="224"/>
    </row>
    <row r="76" spans="1:67" ht="22.2" customHeight="1" thickBot="1" x14ac:dyDescent="0.35">
      <c r="A76" s="374" t="s">
        <v>57</v>
      </c>
      <c r="B76" s="375"/>
      <c r="C76" s="376">
        <f>SUM(C67:C69)</f>
        <v>265</v>
      </c>
      <c r="D76" s="180">
        <f t="shared" ref="D76" si="86">SUM(D67:D69)</f>
        <v>153</v>
      </c>
      <c r="E76" s="40">
        <v>250</v>
      </c>
      <c r="F76" s="44"/>
      <c r="G76" s="44">
        <f>SUM(G67:G69)</f>
        <v>245.99999999999997</v>
      </c>
      <c r="H76" s="44">
        <f ca="1">SUM(H67:H69)</f>
        <v>205</v>
      </c>
      <c r="I76" s="44"/>
      <c r="J76" s="185"/>
      <c r="K76" s="179">
        <f t="shared" ref="K76" si="87">SUM(K67:K69)</f>
        <v>265</v>
      </c>
      <c r="L76" s="44">
        <f t="shared" ref="L76:W76" si="88">IF(L67="","",L67+L68+L69)</f>
        <v>26</v>
      </c>
      <c r="M76" s="44">
        <f t="shared" si="88"/>
        <v>50</v>
      </c>
      <c r="N76" s="44">
        <f t="shared" si="88"/>
        <v>78</v>
      </c>
      <c r="O76" s="44">
        <f t="shared" si="88"/>
        <v>106</v>
      </c>
      <c r="P76" s="44">
        <f t="shared" si="88"/>
        <v>128</v>
      </c>
      <c r="Q76" s="44">
        <f t="shared" si="88"/>
        <v>148</v>
      </c>
      <c r="R76" s="44">
        <f t="shared" si="88"/>
        <v>165</v>
      </c>
      <c r="S76" s="44">
        <f t="shared" si="88"/>
        <v>178</v>
      </c>
      <c r="T76" s="44">
        <f t="shared" si="88"/>
        <v>191</v>
      </c>
      <c r="U76" s="44">
        <f t="shared" si="88"/>
        <v>205</v>
      </c>
      <c r="V76" s="44" t="str">
        <f t="shared" si="88"/>
        <v/>
      </c>
      <c r="W76" s="44" t="str">
        <f t="shared" si="88"/>
        <v/>
      </c>
      <c r="X76" s="213"/>
      <c r="Y76" s="279">
        <f t="array" ref="Y76">INDEX($L$4:$W$4,MAX(IF($L76:$W76&lt;&gt;"",COLUMN($L76:$W76)-COLUMN($L$9)+1)))</f>
        <v>43101</v>
      </c>
      <c r="Z76" s="266"/>
      <c r="AA76" s="280">
        <f>L76</f>
        <v>26</v>
      </c>
      <c r="AB76" s="247">
        <f>M76-L76</f>
        <v>24</v>
      </c>
      <c r="AC76" s="222">
        <f t="shared" ref="AC76" si="89">IF(N76="","",(N76-M76))</f>
        <v>28</v>
      </c>
      <c r="AD76" s="222">
        <f t="shared" si="85"/>
        <v>28</v>
      </c>
      <c r="AE76" s="222">
        <f t="shared" si="85"/>
        <v>22</v>
      </c>
      <c r="AF76" s="222">
        <f t="shared" si="85"/>
        <v>20</v>
      </c>
      <c r="AG76" s="222">
        <f t="shared" si="85"/>
        <v>17</v>
      </c>
      <c r="AH76" s="222">
        <f t="shared" si="85"/>
        <v>13</v>
      </c>
      <c r="AI76" s="222">
        <f t="shared" si="85"/>
        <v>13</v>
      </c>
      <c r="AJ76" s="222">
        <f t="shared" si="85"/>
        <v>14</v>
      </c>
      <c r="AK76" s="222" t="str">
        <f t="shared" si="85"/>
        <v/>
      </c>
      <c r="AL76" s="222" t="str">
        <f t="shared" si="85"/>
        <v/>
      </c>
      <c r="AM76" s="17"/>
      <c r="AN76" s="227" t="e">
        <f>V76/12*BR3</f>
        <v>#VALUE!</v>
      </c>
      <c r="AO76" s="228">
        <v>17.5</v>
      </c>
      <c r="AP76" s="228" t="e">
        <f>#REF!-AO76</f>
        <v>#REF!</v>
      </c>
      <c r="AQ76" s="228" t="e">
        <f>AB76-#REF!</f>
        <v>#REF!</v>
      </c>
      <c r="AR76" s="228"/>
      <c r="AS76" s="229"/>
      <c r="AT76" s="229"/>
      <c r="AU76" s="228"/>
      <c r="AV76" s="228"/>
      <c r="AW76" s="228"/>
      <c r="AX76" s="228"/>
      <c r="AY76" s="228"/>
      <c r="AZ76" s="228"/>
      <c r="BA76" s="271"/>
      <c r="BC76" s="17"/>
      <c r="BD76" s="228" t="e">
        <f>#REF!-#REF!</f>
        <v>#REF!</v>
      </c>
      <c r="BE76" s="228" t="e">
        <f>AQ76-#REF!</f>
        <v>#REF!</v>
      </c>
      <c r="BF76" s="228"/>
      <c r="BG76" s="229"/>
      <c r="BH76" s="229"/>
      <c r="BI76" s="228"/>
      <c r="BJ76" s="228"/>
      <c r="BK76" s="228"/>
      <c r="BL76" s="228"/>
      <c r="BM76" s="228"/>
      <c r="BN76" s="228"/>
      <c r="BO76" s="230"/>
    </row>
    <row r="77" spans="1:67" ht="4.5" hidden="1" customHeight="1" x14ac:dyDescent="0.25">
      <c r="A77" s="28"/>
      <c r="B77" s="87"/>
      <c r="C77" s="182"/>
      <c r="D77" s="173"/>
      <c r="E77" s="173"/>
      <c r="F77" s="173"/>
      <c r="G77" s="90"/>
      <c r="H77" s="91" t="e">
        <f>IF((SUM(L77:WB77))=0,"",(SUM(L77:WB77)))</f>
        <v>#REF!</v>
      </c>
      <c r="I77" s="84"/>
      <c r="J77" s="13"/>
      <c r="K77" s="18"/>
      <c r="M77" s="17"/>
      <c r="N77" s="17"/>
      <c r="O77" s="17"/>
      <c r="P77" s="17"/>
      <c r="Q77" s="17"/>
      <c r="R77" s="17"/>
      <c r="S77" s="17"/>
      <c r="T77" s="92"/>
      <c r="U77" s="17"/>
      <c r="V77" s="17"/>
      <c r="W77" s="18"/>
      <c r="X77" s="17"/>
      <c r="Y77" s="279">
        <f t="array" ref="Y77">INDEX($L$4:$W$4,MAX(IF($L77:$W77&lt;&gt;"",COLUMN($L77:$W77)-COLUMN($L$9)+1)))</f>
        <v>42826</v>
      </c>
      <c r="Z77" s="266"/>
      <c r="AA77" s="206"/>
      <c r="AB77" s="206">
        <f>M77-L77</f>
        <v>0</v>
      </c>
      <c r="AC77" s="241"/>
      <c r="AD77" s="242"/>
      <c r="AE77" s="242"/>
      <c r="AF77" s="241"/>
      <c r="AG77" s="241"/>
      <c r="AH77" s="241"/>
      <c r="AN77" s="206"/>
      <c r="AO77" s="2">
        <v>0</v>
      </c>
      <c r="AP77" s="2" t="e">
        <f>#REF!-AO77</f>
        <v>#REF!</v>
      </c>
      <c r="AQ77" s="2" t="e">
        <f>AB77-#REF!</f>
        <v>#REF!</v>
      </c>
      <c r="AS77" s="201"/>
      <c r="AT77" s="201"/>
      <c r="BD77" s="2" t="e">
        <f>#REF!-#REF!</f>
        <v>#REF!</v>
      </c>
      <c r="BE77" s="2" t="e">
        <f>AQ77-#REF!</f>
        <v>#REF!</v>
      </c>
      <c r="BG77" s="201"/>
      <c r="BH77" s="201"/>
    </row>
    <row r="78" spans="1:67" ht="22.2" customHeight="1" x14ac:dyDescent="0.25">
      <c r="A78" s="97" t="s">
        <v>58</v>
      </c>
      <c r="C78" s="17"/>
      <c r="D78" s="17"/>
      <c r="E78" s="17"/>
      <c r="F78" s="17"/>
      <c r="G78" s="17"/>
      <c r="H78" s="17" t="str">
        <f>IF((SUM(L78:WB78))=0,"",(SUM(L78:WB78)))</f>
        <v/>
      </c>
      <c r="J78" s="17"/>
      <c r="K78" s="18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8"/>
      <c r="X78" s="17"/>
      <c r="Y78" s="279"/>
      <c r="Z78" s="266"/>
      <c r="AA78" s="206"/>
      <c r="AB78" s="206"/>
      <c r="AC78" s="241"/>
      <c r="AD78" s="242"/>
      <c r="AE78" s="242"/>
      <c r="AF78" s="241"/>
      <c r="AG78" s="241"/>
      <c r="AH78" s="241"/>
      <c r="AN78" s="206"/>
      <c r="AS78" s="201"/>
      <c r="AT78" s="201"/>
      <c r="BG78" s="201"/>
      <c r="BH78" s="201"/>
    </row>
    <row r="79" spans="1:67" ht="22.2" customHeight="1" x14ac:dyDescent="0.25">
      <c r="A79" s="355" t="s">
        <v>59</v>
      </c>
      <c r="B79" s="17"/>
      <c r="C79" s="17"/>
      <c r="D79" s="17"/>
      <c r="E79" s="17"/>
      <c r="F79" s="17"/>
      <c r="G79" s="17"/>
      <c r="H79" s="17" t="str">
        <f>IF((SUM(L79:WB79))=0,"",(SUM(L79:WB79)))</f>
        <v/>
      </c>
      <c r="J79" s="17"/>
      <c r="K79" s="18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  <c r="X79" s="17"/>
      <c r="Y79" s="279"/>
      <c r="Z79" s="266"/>
      <c r="AA79" s="206"/>
      <c r="AB79" s="206"/>
      <c r="AC79" s="241"/>
      <c r="AD79" s="242"/>
      <c r="AE79" s="242"/>
      <c r="AF79" s="241"/>
      <c r="AG79" s="241"/>
      <c r="AH79" s="241"/>
      <c r="AN79" s="206"/>
      <c r="AS79" s="201"/>
      <c r="AT79" s="201"/>
      <c r="BG79" s="201"/>
      <c r="BH79" s="201"/>
    </row>
    <row r="80" spans="1:67" ht="22.2" customHeight="1" x14ac:dyDescent="0.25">
      <c r="A80" s="197" t="s">
        <v>60</v>
      </c>
      <c r="B80" s="103"/>
      <c r="C80" s="187">
        <v>144</v>
      </c>
      <c r="D80" s="181">
        <v>200</v>
      </c>
      <c r="E80" s="340"/>
      <c r="F80" s="101"/>
      <c r="G80" s="101">
        <f t="shared" ref="G80:G81" si="90">((INDEX(L80:W80,COUNT(L80:W80))/(COUNT(L80:W80)))*12)</f>
        <v>117.60000000000001</v>
      </c>
      <c r="H80" s="260">
        <f t="array" aca="1" ref="H80" ca="1">(OFFSET(L80,0,MAX((L80:W80&lt;&gt;"")*(COLUMN(L80:W80)))-COLUMN(L80)))</f>
        <v>98</v>
      </c>
      <c r="I80" s="101"/>
      <c r="J80" s="324"/>
      <c r="K80" s="181">
        <v>144</v>
      </c>
      <c r="L80" s="191">
        <v>16</v>
      </c>
      <c r="M80" s="103">
        <v>33</v>
      </c>
      <c r="N80" s="103">
        <v>51</v>
      </c>
      <c r="O80" s="103">
        <v>54</v>
      </c>
      <c r="P80" s="103">
        <v>68</v>
      </c>
      <c r="Q80" s="103">
        <v>72</v>
      </c>
      <c r="R80" s="103">
        <v>80</v>
      </c>
      <c r="S80" s="103">
        <v>90</v>
      </c>
      <c r="T80" s="103">
        <v>92</v>
      </c>
      <c r="U80" s="103">
        <v>98</v>
      </c>
      <c r="V80" s="103"/>
      <c r="W80" s="292"/>
      <c r="X80" s="211"/>
      <c r="Y80" s="279">
        <f t="array" ref="Y80">INDEX($L$4:$W$4,MAX(IF($L80:$W80&lt;&gt;"",COLUMN($L80:$W80)-COLUMN($L$9)+1)))</f>
        <v>43101</v>
      </c>
      <c r="Z80" s="266"/>
      <c r="AA80" s="273">
        <f>L80</f>
        <v>16</v>
      </c>
      <c r="AB80" s="222">
        <f>M80-L80</f>
        <v>17</v>
      </c>
      <c r="AC80" s="222">
        <f t="shared" ref="AC80:AL83" si="91">IF(N80="","",(N80-M80))</f>
        <v>18</v>
      </c>
      <c r="AD80" s="222">
        <f t="shared" si="91"/>
        <v>3</v>
      </c>
      <c r="AE80" s="222">
        <f t="shared" si="91"/>
        <v>14</v>
      </c>
      <c r="AF80" s="222">
        <f t="shared" si="91"/>
        <v>4</v>
      </c>
      <c r="AG80" s="222">
        <f t="shared" si="91"/>
        <v>8</v>
      </c>
      <c r="AH80" s="222">
        <f t="shared" si="91"/>
        <v>10</v>
      </c>
      <c r="AI80" s="222">
        <f t="shared" si="91"/>
        <v>2</v>
      </c>
      <c r="AJ80" s="222">
        <f t="shared" si="91"/>
        <v>6</v>
      </c>
      <c r="AK80" s="222" t="str">
        <f t="shared" si="91"/>
        <v/>
      </c>
      <c r="AL80" s="222" t="str">
        <f t="shared" si="91"/>
        <v/>
      </c>
      <c r="AM80" s="17"/>
      <c r="AN80" s="222"/>
      <c r="AO80" s="218">
        <v>8</v>
      </c>
      <c r="AP80" s="218" t="e">
        <f>#REF!-AO80</f>
        <v>#REF!</v>
      </c>
      <c r="AQ80" s="218" t="e">
        <f>AB80-#REF!</f>
        <v>#REF!</v>
      </c>
      <c r="AR80" s="218"/>
      <c r="AS80" s="220"/>
      <c r="AT80" s="220"/>
      <c r="AU80" s="218"/>
      <c r="AV80" s="218"/>
      <c r="AW80" s="218"/>
      <c r="AX80" s="218"/>
      <c r="AY80" s="218"/>
      <c r="AZ80" s="218"/>
      <c r="BA80" s="34"/>
      <c r="BC80" s="17"/>
      <c r="BD80" s="218" t="e">
        <f>#REF!-#REF!</f>
        <v>#REF!</v>
      </c>
      <c r="BE80" s="218" t="e">
        <f>AQ80-#REF!</f>
        <v>#REF!</v>
      </c>
      <c r="BF80" s="218"/>
      <c r="BG80" s="220"/>
      <c r="BH80" s="220"/>
      <c r="BI80" s="218"/>
      <c r="BJ80" s="218"/>
      <c r="BK80" s="218"/>
      <c r="BL80" s="218"/>
      <c r="BM80" s="218"/>
      <c r="BN80" s="218"/>
      <c r="BO80" s="218"/>
    </row>
    <row r="81" spans="1:67" ht="22.2" customHeight="1" thickBot="1" x14ac:dyDescent="0.3">
      <c r="A81" s="377" t="s">
        <v>161</v>
      </c>
      <c r="B81" s="258"/>
      <c r="C81" s="338">
        <v>15</v>
      </c>
      <c r="D81" s="181"/>
      <c r="E81" s="356"/>
      <c r="F81" s="343"/>
      <c r="G81" s="343">
        <f t="shared" si="90"/>
        <v>9.6000000000000014</v>
      </c>
      <c r="H81" s="344">
        <f t="array" aca="1" ref="H81" ca="1">(OFFSET(L81,0,MAX((L81:W81&lt;&gt;"")*(COLUMN(L81:W81)))-COLUMN(L81)))</f>
        <v>8</v>
      </c>
      <c r="I81" s="343"/>
      <c r="J81" s="345"/>
      <c r="K81" s="181">
        <v>15</v>
      </c>
      <c r="L81" s="363">
        <v>2</v>
      </c>
      <c r="M81" s="258">
        <v>4</v>
      </c>
      <c r="N81" s="258">
        <v>5</v>
      </c>
      <c r="O81" s="258">
        <v>5</v>
      </c>
      <c r="P81" s="258">
        <v>7</v>
      </c>
      <c r="Q81" s="258">
        <v>8</v>
      </c>
      <c r="R81" s="258">
        <v>8</v>
      </c>
      <c r="S81" s="258">
        <v>8</v>
      </c>
      <c r="T81" s="258">
        <v>8</v>
      </c>
      <c r="U81" s="258">
        <v>8</v>
      </c>
      <c r="V81" s="258"/>
      <c r="W81" s="361"/>
      <c r="X81" s="211"/>
      <c r="Y81" s="279">
        <f t="array" ref="Y81">INDEX($L$4:$W$4,MAX(IF($L81:$W81&lt;&gt;"",COLUMN($L81:$W81)-COLUMN($L$9)+1)))</f>
        <v>43101</v>
      </c>
      <c r="Z81" s="266"/>
      <c r="AA81" s="273">
        <f>L81</f>
        <v>2</v>
      </c>
      <c r="AB81" s="223">
        <f>M81-L81</f>
        <v>2</v>
      </c>
      <c r="AC81" s="222">
        <f t="shared" si="91"/>
        <v>1</v>
      </c>
      <c r="AD81" s="222">
        <f t="shared" si="91"/>
        <v>0</v>
      </c>
      <c r="AE81" s="222">
        <f t="shared" si="91"/>
        <v>2</v>
      </c>
      <c r="AF81" s="222">
        <f t="shared" si="91"/>
        <v>1</v>
      </c>
      <c r="AG81" s="222">
        <f t="shared" si="91"/>
        <v>0</v>
      </c>
      <c r="AH81" s="222">
        <f t="shared" si="91"/>
        <v>0</v>
      </c>
      <c r="AI81" s="222">
        <f t="shared" si="91"/>
        <v>0</v>
      </c>
      <c r="AJ81" s="222">
        <f t="shared" si="91"/>
        <v>0</v>
      </c>
      <c r="AK81" s="222" t="str">
        <f t="shared" si="91"/>
        <v/>
      </c>
      <c r="AL81" s="222" t="str">
        <f t="shared" si="91"/>
        <v/>
      </c>
      <c r="AM81" s="17"/>
      <c r="AN81" s="223"/>
      <c r="AO81" s="224">
        <v>1</v>
      </c>
      <c r="AP81" s="224" t="e">
        <f>#REF!-AO81</f>
        <v>#REF!</v>
      </c>
      <c r="AQ81" s="224" t="e">
        <f>AB81-#REF!</f>
        <v>#REF!</v>
      </c>
      <c r="AR81" s="224"/>
      <c r="AS81" s="225"/>
      <c r="AT81" s="225"/>
      <c r="AU81" s="224"/>
      <c r="AV81" s="224"/>
      <c r="AW81" s="224"/>
      <c r="AX81" s="224"/>
      <c r="AY81" s="224"/>
      <c r="AZ81" s="224"/>
      <c r="BA81" s="270"/>
      <c r="BC81" s="17"/>
      <c r="BD81" s="224" t="e">
        <f>#REF!-#REF!</f>
        <v>#REF!</v>
      </c>
      <c r="BE81" s="224" t="e">
        <f>AQ81-#REF!</f>
        <v>#REF!</v>
      </c>
      <c r="BF81" s="224"/>
      <c r="BG81" s="225"/>
      <c r="BH81" s="225"/>
      <c r="BI81" s="224"/>
      <c r="BJ81" s="224"/>
      <c r="BK81" s="224"/>
      <c r="BL81" s="224"/>
      <c r="BM81" s="224"/>
      <c r="BN81" s="224"/>
      <c r="BO81" s="224"/>
    </row>
    <row r="82" spans="1:67" ht="22.2" customHeight="1" thickBot="1" x14ac:dyDescent="0.35">
      <c r="A82" s="38" t="s">
        <v>62</v>
      </c>
      <c r="B82" s="39"/>
      <c r="C82" s="185">
        <f>C80</f>
        <v>144</v>
      </c>
      <c r="D82" s="180">
        <f>D80</f>
        <v>200</v>
      </c>
      <c r="E82" s="40">
        <v>200</v>
      </c>
      <c r="F82" s="44"/>
      <c r="G82" s="44">
        <f>G80</f>
        <v>117.60000000000001</v>
      </c>
      <c r="H82" s="44">
        <f ca="1">H80</f>
        <v>98</v>
      </c>
      <c r="I82" s="44"/>
      <c r="J82" s="185"/>
      <c r="K82" s="179">
        <f t="shared" ref="K82" si="92">K80</f>
        <v>144</v>
      </c>
      <c r="L82" s="44">
        <f t="shared" ref="L82:W82" si="93">IF(L80="","",L80)</f>
        <v>16</v>
      </c>
      <c r="M82" s="44">
        <f t="shared" si="93"/>
        <v>33</v>
      </c>
      <c r="N82" s="44">
        <f t="shared" si="93"/>
        <v>51</v>
      </c>
      <c r="O82" s="44">
        <f t="shared" si="93"/>
        <v>54</v>
      </c>
      <c r="P82" s="44">
        <f t="shared" si="93"/>
        <v>68</v>
      </c>
      <c r="Q82" s="44">
        <f t="shared" si="93"/>
        <v>72</v>
      </c>
      <c r="R82" s="44">
        <f t="shared" si="93"/>
        <v>80</v>
      </c>
      <c r="S82" s="44">
        <f t="shared" si="93"/>
        <v>90</v>
      </c>
      <c r="T82" s="44">
        <f t="shared" si="93"/>
        <v>92</v>
      </c>
      <c r="U82" s="44">
        <f t="shared" si="93"/>
        <v>98</v>
      </c>
      <c r="V82" s="44" t="str">
        <f t="shared" si="93"/>
        <v/>
      </c>
      <c r="W82" s="44" t="str">
        <f t="shared" si="93"/>
        <v/>
      </c>
      <c r="X82" s="213"/>
      <c r="Y82" s="279">
        <f t="array" ref="Y82">INDEX($L$4:$W$4,MAX(IF($L82:$W82&lt;&gt;"",COLUMN($L82:$W82)-COLUMN($L$9)+1)))</f>
        <v>43101</v>
      </c>
      <c r="Z82" s="266"/>
      <c r="AA82" s="273">
        <f>L82</f>
        <v>16</v>
      </c>
      <c r="AB82" s="247">
        <f>M82-L82</f>
        <v>17</v>
      </c>
      <c r="AC82" s="222">
        <f t="shared" si="91"/>
        <v>18</v>
      </c>
      <c r="AD82" s="222">
        <f t="shared" si="91"/>
        <v>3</v>
      </c>
      <c r="AE82" s="222">
        <f t="shared" si="91"/>
        <v>14</v>
      </c>
      <c r="AF82" s="222">
        <f t="shared" si="91"/>
        <v>4</v>
      </c>
      <c r="AG82" s="222">
        <f t="shared" si="91"/>
        <v>8</v>
      </c>
      <c r="AH82" s="222">
        <f t="shared" si="91"/>
        <v>10</v>
      </c>
      <c r="AI82" s="222">
        <f t="shared" si="91"/>
        <v>2</v>
      </c>
      <c r="AJ82" s="222">
        <f t="shared" si="91"/>
        <v>6</v>
      </c>
      <c r="AK82" s="222" t="str">
        <f t="shared" si="91"/>
        <v/>
      </c>
      <c r="AL82" s="222" t="str">
        <f t="shared" si="91"/>
        <v/>
      </c>
      <c r="AM82" s="17"/>
      <c r="AN82" s="227" t="e">
        <f>V82/12*BQ3</f>
        <v>#VALUE!</v>
      </c>
      <c r="AO82" s="228">
        <v>8</v>
      </c>
      <c r="AP82" s="228" t="e">
        <f>#REF!-AO82</f>
        <v>#REF!</v>
      </c>
      <c r="AQ82" s="228" t="e">
        <f>AB82-#REF!</f>
        <v>#REF!</v>
      </c>
      <c r="AR82" s="228"/>
      <c r="AS82" s="229"/>
      <c r="AT82" s="229"/>
      <c r="AU82" s="228"/>
      <c r="AV82" s="228"/>
      <c r="AW82" s="228"/>
      <c r="AX82" s="228"/>
      <c r="AY82" s="228"/>
      <c r="AZ82" s="228"/>
      <c r="BA82" s="271"/>
      <c r="BC82" s="17"/>
      <c r="BD82" s="228" t="e">
        <f>#REF!-#REF!</f>
        <v>#REF!</v>
      </c>
      <c r="BE82" s="228" t="e">
        <f>AQ82-#REF!</f>
        <v>#REF!</v>
      </c>
      <c r="BF82" s="228"/>
      <c r="BG82" s="229"/>
      <c r="BH82" s="229"/>
      <c r="BI82" s="228"/>
      <c r="BJ82" s="228"/>
      <c r="BK82" s="228"/>
      <c r="BL82" s="228"/>
      <c r="BM82" s="228"/>
      <c r="BN82" s="228"/>
      <c r="BO82" s="230"/>
    </row>
    <row r="83" spans="1:67" ht="8.25" hidden="1" customHeight="1" x14ac:dyDescent="0.25">
      <c r="A83" s="28"/>
      <c r="B83" s="93"/>
      <c r="C83" s="182"/>
      <c r="D83" s="174"/>
      <c r="E83" s="174"/>
      <c r="F83" s="174"/>
      <c r="G83" s="95"/>
      <c r="H83" s="91" t="e">
        <f>IF((SUM(L83:WB83))=0,"",(SUM(L83:WB83)))</f>
        <v>#REF!</v>
      </c>
      <c r="I83" s="84"/>
      <c r="J83" s="13"/>
      <c r="K83" s="18"/>
      <c r="M83" s="17"/>
      <c r="N83" s="17"/>
      <c r="O83" s="17"/>
      <c r="P83" s="44">
        <f t="shared" ref="P83" si="94">P81</f>
        <v>7</v>
      </c>
      <c r="Q83" s="17"/>
      <c r="R83" s="17"/>
      <c r="S83" s="17"/>
      <c r="T83" s="96"/>
      <c r="U83" s="17"/>
      <c r="V83" s="17"/>
      <c r="W83" s="18"/>
      <c r="X83" s="17"/>
      <c r="Y83" s="279">
        <f t="array" ref="Y83">INDEX($L$4:$W$4,MAX(IF($L83:$W83&lt;&gt;"",COLUMN($L83:$W83)-COLUMN($L$9)+1)))</f>
        <v>42948</v>
      </c>
      <c r="Z83" s="266"/>
      <c r="AA83" s="206"/>
      <c r="AB83" s="206">
        <f>M83-L83</f>
        <v>0</v>
      </c>
      <c r="AC83" s="222" t="str">
        <f t="shared" si="91"/>
        <v/>
      </c>
      <c r="AD83" s="222" t="str">
        <f t="shared" si="91"/>
        <v/>
      </c>
      <c r="AE83" s="222">
        <f t="shared" si="91"/>
        <v>7</v>
      </c>
      <c r="AF83" s="222" t="str">
        <f t="shared" si="91"/>
        <v/>
      </c>
      <c r="AG83" s="222" t="str">
        <f t="shared" si="91"/>
        <v/>
      </c>
      <c r="AH83" s="222" t="str">
        <f t="shared" si="91"/>
        <v/>
      </c>
      <c r="AI83" s="222" t="str">
        <f t="shared" si="91"/>
        <v/>
      </c>
      <c r="AJ83" s="222" t="str">
        <f t="shared" si="91"/>
        <v/>
      </c>
      <c r="AK83" s="222" t="str">
        <f t="shared" si="91"/>
        <v/>
      </c>
      <c r="AL83" s="222" t="str">
        <f t="shared" si="91"/>
        <v/>
      </c>
      <c r="AN83" s="206"/>
      <c r="AO83" s="2">
        <v>0</v>
      </c>
      <c r="AP83" s="2" t="e">
        <f>#REF!-AO83</f>
        <v>#REF!</v>
      </c>
      <c r="AQ83" s="2" t="e">
        <f>AB83-#REF!</f>
        <v>#REF!</v>
      </c>
      <c r="AS83" s="201"/>
      <c r="AT83" s="201"/>
      <c r="BD83" s="2" t="e">
        <f>#REF!-#REF!</f>
        <v>#REF!</v>
      </c>
      <c r="BE83" s="2" t="e">
        <f>AQ83-#REF!</f>
        <v>#REF!</v>
      </c>
      <c r="BG83" s="201"/>
      <c r="BH83" s="201"/>
    </row>
    <row r="84" spans="1:67" ht="22.2" customHeight="1" x14ac:dyDescent="0.25">
      <c r="A84" s="305" t="s">
        <v>63</v>
      </c>
      <c r="B84" s="17"/>
      <c r="C84" s="17"/>
      <c r="D84" s="17"/>
      <c r="E84" s="17"/>
      <c r="F84" s="17"/>
      <c r="G84" s="17"/>
      <c r="H84" s="17" t="str">
        <f>IF((SUM(L84:WB84))=0,"",(SUM(L84:WB84)))</f>
        <v/>
      </c>
      <c r="J84" s="17"/>
      <c r="K84" s="18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8"/>
      <c r="X84" s="17"/>
      <c r="Y84" s="279"/>
      <c r="Z84" s="266"/>
      <c r="AA84" s="206"/>
      <c r="AB84" s="206"/>
      <c r="AC84" s="241"/>
      <c r="AD84" s="242"/>
      <c r="AE84" s="242"/>
      <c r="AF84" s="241"/>
      <c r="AG84" s="241"/>
      <c r="AH84" s="241"/>
      <c r="AN84" s="206"/>
      <c r="AS84" s="201"/>
      <c r="AT84" s="201"/>
      <c r="BG84" s="201"/>
      <c r="BH84" s="201"/>
    </row>
    <row r="85" spans="1:67" ht="37.65" customHeight="1" thickBot="1" x14ac:dyDescent="0.3">
      <c r="A85" s="337" t="s">
        <v>64</v>
      </c>
      <c r="B85" s="258"/>
      <c r="C85" s="338">
        <f t="shared" ref="C85" si="95">C60</f>
        <v>299</v>
      </c>
      <c r="D85" s="309">
        <v>295</v>
      </c>
      <c r="E85" s="356">
        <v>400</v>
      </c>
      <c r="F85" s="379"/>
      <c r="G85" s="343">
        <f>G60</f>
        <v>109.19999999999999</v>
      </c>
      <c r="H85" s="344">
        <f t="array" aca="1" ref="H85" ca="1">(OFFSET(L85,0,MAX((L85:W85&lt;&gt;"")*(COLUMN(L85:W85)))-COLUMN(L85)))</f>
        <v>91</v>
      </c>
      <c r="I85" s="343"/>
      <c r="J85" s="345"/>
      <c r="K85" s="378">
        <f t="shared" ref="K85" si="96">K60</f>
        <v>299</v>
      </c>
      <c r="L85" s="310">
        <f t="shared" ref="L85:S85" si="97">IF(L60="","",L60)</f>
        <v>0</v>
      </c>
      <c r="M85" s="311">
        <f t="shared" si="97"/>
        <v>3</v>
      </c>
      <c r="N85" s="311">
        <f t="shared" si="97"/>
        <v>3</v>
      </c>
      <c r="O85" s="311">
        <f t="shared" si="97"/>
        <v>3</v>
      </c>
      <c r="P85" s="311">
        <f t="shared" si="97"/>
        <v>3</v>
      </c>
      <c r="Q85" s="311">
        <f t="shared" si="97"/>
        <v>3</v>
      </c>
      <c r="R85" s="311">
        <f t="shared" si="97"/>
        <v>3</v>
      </c>
      <c r="S85" s="311">
        <f t="shared" si="97"/>
        <v>12</v>
      </c>
      <c r="T85" s="311">
        <f>IF(T60="","",T60)</f>
        <v>58</v>
      </c>
      <c r="U85" s="311">
        <f t="shared" ref="U85:W85" si="98">IF(U60="","",U60)</f>
        <v>91</v>
      </c>
      <c r="V85" s="311" t="str">
        <f t="shared" si="98"/>
        <v/>
      </c>
      <c r="W85" s="312" t="str">
        <f t="shared" si="98"/>
        <v/>
      </c>
      <c r="X85" s="211"/>
      <c r="Y85" s="279">
        <f t="array" ref="Y85">INDEX($L$4:$W$4,MAX(IF($L85:$W85&lt;&gt;"",COLUMN($L85:$W85)-COLUMN($L$9)+1)))</f>
        <v>43101</v>
      </c>
      <c r="Z85" s="266"/>
      <c r="AA85" s="273">
        <f>L85</f>
        <v>0</v>
      </c>
      <c r="AB85" s="222">
        <f>M85-L85</f>
        <v>3</v>
      </c>
      <c r="AC85" s="222">
        <f>IF(N85="","",(N85-M85))</f>
        <v>0</v>
      </c>
      <c r="AD85" s="222">
        <f t="shared" ref="AD85:AL85" si="99">IF(O85="","",(O85-N85))</f>
        <v>0</v>
      </c>
      <c r="AE85" s="222">
        <f t="shared" si="99"/>
        <v>0</v>
      </c>
      <c r="AF85" s="222">
        <f t="shared" si="99"/>
        <v>0</v>
      </c>
      <c r="AG85" s="222">
        <f t="shared" si="99"/>
        <v>0</v>
      </c>
      <c r="AH85" s="222">
        <f t="shared" si="99"/>
        <v>9</v>
      </c>
      <c r="AI85" s="222">
        <f t="shared" si="99"/>
        <v>46</v>
      </c>
      <c r="AJ85" s="222">
        <f t="shared" si="99"/>
        <v>33</v>
      </c>
      <c r="AK85" s="222" t="str">
        <f t="shared" si="99"/>
        <v/>
      </c>
      <c r="AL85" s="222" t="str">
        <f t="shared" si="99"/>
        <v/>
      </c>
      <c r="AM85" s="17"/>
      <c r="AN85" s="222"/>
      <c r="AO85" s="218"/>
      <c r="AP85" s="218"/>
      <c r="AQ85" s="218"/>
      <c r="AR85" s="218"/>
      <c r="AS85" s="220"/>
      <c r="AT85" s="220"/>
      <c r="AU85" s="218"/>
      <c r="AV85" s="218"/>
      <c r="AW85" s="218"/>
      <c r="AX85" s="218"/>
      <c r="AY85" s="218"/>
      <c r="AZ85" s="218"/>
      <c r="BA85" s="34"/>
      <c r="BC85" s="17"/>
      <c r="BD85" s="218"/>
      <c r="BE85" s="218"/>
      <c r="BF85" s="218"/>
      <c r="BG85" s="220"/>
      <c r="BH85" s="220"/>
      <c r="BI85" s="218"/>
      <c r="BJ85" s="218"/>
      <c r="BK85" s="218"/>
      <c r="BL85" s="218"/>
      <c r="BM85" s="218"/>
      <c r="BN85" s="218"/>
      <c r="BO85" s="218"/>
    </row>
    <row r="86" spans="1:67" s="36" customFormat="1" ht="21.6" hidden="1" customHeight="1" thickBot="1" x14ac:dyDescent="0.35">
      <c r="A86" s="5" t="s">
        <v>65</v>
      </c>
      <c r="B86" s="6"/>
      <c r="C86" s="6"/>
      <c r="D86" s="6"/>
      <c r="E86" s="5"/>
      <c r="F86" s="313"/>
      <c r="G86" s="314"/>
      <c r="H86" s="314" t="str">
        <f t="shared" ref="H86:H100" si="100">IF((SUM(L86:WB86))=0,"",(SUM(L86:WB86)))</f>
        <v/>
      </c>
      <c r="I86" s="314"/>
      <c r="J86" s="314"/>
      <c r="K86" s="7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5"/>
      <c r="X86" s="216"/>
      <c r="Y86" s="279"/>
      <c r="Z86" s="266"/>
      <c r="AA86" s="206"/>
      <c r="AB86" s="206"/>
      <c r="AC86" s="243"/>
      <c r="AD86" s="243"/>
      <c r="AE86" s="243"/>
      <c r="AF86" s="243"/>
      <c r="AG86" s="243"/>
      <c r="AH86" s="243"/>
      <c r="AN86" s="206"/>
      <c r="AO86" s="2"/>
      <c r="AP86" s="2"/>
      <c r="AQ86" s="2"/>
      <c r="BB86" s="276"/>
      <c r="BD86" s="2"/>
      <c r="BE86" s="2"/>
    </row>
    <row r="87" spans="1:67" s="115" customFormat="1" ht="16.5" hidden="1" customHeight="1" x14ac:dyDescent="0.3">
      <c r="A87" s="107"/>
      <c r="B87" s="35"/>
      <c r="C87" s="188"/>
      <c r="D87" s="175"/>
      <c r="E87" s="175"/>
      <c r="F87" s="175"/>
      <c r="G87" s="110"/>
      <c r="H87" s="84" t="e">
        <f t="shared" si="100"/>
        <v>#REF!</v>
      </c>
      <c r="I87" s="84"/>
      <c r="J87" s="13"/>
      <c r="K87" s="114"/>
      <c r="L87" s="111"/>
      <c r="M87" s="112"/>
      <c r="N87" s="112"/>
      <c r="O87" s="112"/>
      <c r="P87" s="112"/>
      <c r="Q87" s="112"/>
      <c r="R87" s="112"/>
      <c r="S87" s="112"/>
      <c r="T87" s="113"/>
      <c r="U87" s="112"/>
      <c r="V87" s="112"/>
      <c r="W87" s="114"/>
      <c r="X87" s="112"/>
      <c r="Y87" s="279">
        <f t="array" ref="Y87">INDEX($L$4:$W$4,MAX(IF($L87:$W87&lt;&gt;"",COLUMN($L87:$W87)-COLUMN($L$9)+1)))</f>
        <v>42826</v>
      </c>
      <c r="Z87" s="266"/>
      <c r="AA87" s="206"/>
      <c r="AB87" s="206">
        <f t="shared" ref="AB87:AB101" si="101">M87-L87</f>
        <v>0</v>
      </c>
      <c r="AC87" s="244"/>
      <c r="AD87" s="244"/>
      <c r="AE87" s="244"/>
      <c r="AF87" s="244"/>
      <c r="AG87" s="244"/>
      <c r="AH87" s="244"/>
      <c r="AN87" s="206"/>
      <c r="AO87" s="2">
        <v>0</v>
      </c>
      <c r="AP87" s="2" t="e">
        <f>#REF!-AO87</f>
        <v>#REF!</v>
      </c>
      <c r="AQ87" s="2" t="e">
        <f>AB87-#REF!</f>
        <v>#REF!</v>
      </c>
      <c r="BB87" s="268"/>
      <c r="BD87" s="2" t="e">
        <f>#REF!-#REF!</f>
        <v>#REF!</v>
      </c>
      <c r="BE87" s="2" t="e">
        <f>AQ87-#REF!</f>
        <v>#REF!</v>
      </c>
    </row>
    <row r="88" spans="1:67" s="115" customFormat="1" ht="16.5" hidden="1" customHeight="1" x14ac:dyDescent="0.3">
      <c r="A88" s="107"/>
      <c r="B88" s="35"/>
      <c r="C88" s="188"/>
      <c r="D88" s="173"/>
      <c r="E88" s="173"/>
      <c r="F88" s="173"/>
      <c r="G88" s="110"/>
      <c r="H88" s="91" t="e">
        <f t="shared" si="100"/>
        <v>#REF!</v>
      </c>
      <c r="I88" s="91"/>
      <c r="J88" s="24"/>
      <c r="K88" s="114"/>
      <c r="L88" s="111"/>
      <c r="M88" s="112"/>
      <c r="N88" s="112"/>
      <c r="O88" s="112"/>
      <c r="P88" s="112"/>
      <c r="Q88" s="112"/>
      <c r="R88" s="112"/>
      <c r="S88" s="112"/>
      <c r="T88" s="113"/>
      <c r="U88" s="112"/>
      <c r="V88" s="112"/>
      <c r="W88" s="114"/>
      <c r="X88" s="112"/>
      <c r="Y88" s="279">
        <f t="array" ref="Y88">INDEX($L$4:$W$4,MAX(IF($L88:$W88&lt;&gt;"",COLUMN($L88:$W88)-COLUMN($L$9)+1)))</f>
        <v>42826</v>
      </c>
      <c r="Z88" s="266"/>
      <c r="AA88" s="206"/>
      <c r="AB88" s="206">
        <f t="shared" si="101"/>
        <v>0</v>
      </c>
      <c r="AC88" s="244"/>
      <c r="AD88" s="244"/>
      <c r="AE88" s="244"/>
      <c r="AF88" s="244"/>
      <c r="AG88" s="244"/>
      <c r="AH88" s="244"/>
      <c r="AN88" s="206"/>
      <c r="AO88" s="2">
        <v>0</v>
      </c>
      <c r="AP88" s="2" t="e">
        <f>#REF!-AO88</f>
        <v>#REF!</v>
      </c>
      <c r="AQ88" s="2" t="e">
        <f>AB88-#REF!</f>
        <v>#REF!</v>
      </c>
      <c r="BB88" s="268"/>
      <c r="BD88" s="2" t="e">
        <f>#REF!-#REF!</f>
        <v>#REF!</v>
      </c>
      <c r="BE88" s="2" t="e">
        <f>AQ88-#REF!</f>
        <v>#REF!</v>
      </c>
    </row>
    <row r="89" spans="1:67" s="115" customFormat="1" ht="16.5" hidden="1" customHeight="1" thickBot="1" x14ac:dyDescent="0.35">
      <c r="A89" s="116"/>
      <c r="B89" s="111"/>
      <c r="C89" s="188"/>
      <c r="D89" s="176"/>
      <c r="E89" s="176"/>
      <c r="F89" s="176"/>
      <c r="G89" s="119"/>
      <c r="H89" s="91" t="e">
        <f t="shared" si="100"/>
        <v>#REF!</v>
      </c>
      <c r="I89" s="91"/>
      <c r="J89" s="24"/>
      <c r="K89" s="114"/>
      <c r="L89" s="111"/>
      <c r="M89" s="112"/>
      <c r="N89" s="112"/>
      <c r="O89" s="112"/>
      <c r="P89" s="112"/>
      <c r="Q89" s="112"/>
      <c r="R89" s="112"/>
      <c r="S89" s="112"/>
      <c r="T89" s="120"/>
      <c r="U89" s="112"/>
      <c r="V89" s="112"/>
      <c r="W89" s="114"/>
      <c r="X89" s="112"/>
      <c r="Y89" s="279">
        <f t="array" ref="Y89">INDEX($L$4:$W$4,MAX(IF($L89:$W89&lt;&gt;"",COLUMN($L89:$W89)-COLUMN($L$9)+1)))</f>
        <v>42826</v>
      </c>
      <c r="Z89" s="266"/>
      <c r="AA89" s="206"/>
      <c r="AB89" s="206">
        <f t="shared" si="101"/>
        <v>0</v>
      </c>
      <c r="AC89" s="244"/>
      <c r="AD89" s="244"/>
      <c r="AE89" s="244"/>
      <c r="AF89" s="244"/>
      <c r="AG89" s="244"/>
      <c r="AH89" s="244"/>
      <c r="AN89" s="206"/>
      <c r="AO89" s="2">
        <v>0</v>
      </c>
      <c r="AP89" s="2" t="e">
        <f>#REF!-AO89</f>
        <v>#REF!</v>
      </c>
      <c r="AQ89" s="2" t="e">
        <f>AB89-#REF!</f>
        <v>#REF!</v>
      </c>
      <c r="BB89" s="268"/>
      <c r="BD89" s="2" t="e">
        <f>#REF!-#REF!</f>
        <v>#REF!</v>
      </c>
      <c r="BE89" s="2" t="e">
        <f>AQ89-#REF!</f>
        <v>#REF!</v>
      </c>
    </row>
    <row r="90" spans="1:67" ht="15.9" hidden="1" customHeight="1" x14ac:dyDescent="0.25">
      <c r="A90" s="121"/>
      <c r="B90" s="122"/>
      <c r="C90" s="182"/>
      <c r="D90" s="174"/>
      <c r="E90" s="174"/>
      <c r="F90" s="174"/>
      <c r="G90" s="95"/>
      <c r="H90" s="91" t="e">
        <f t="shared" si="100"/>
        <v>#REF!</v>
      </c>
      <c r="I90" s="91"/>
      <c r="J90" s="24"/>
      <c r="K90" s="18"/>
      <c r="M90" s="17"/>
      <c r="N90" s="17"/>
      <c r="O90" s="17"/>
      <c r="P90" s="17"/>
      <c r="Q90" s="17"/>
      <c r="R90" s="17"/>
      <c r="S90" s="17"/>
      <c r="T90" s="124"/>
      <c r="U90" s="17"/>
      <c r="V90" s="17"/>
      <c r="W90" s="18"/>
      <c r="X90" s="17"/>
      <c r="Y90" s="279">
        <f t="array" ref="Y90">INDEX($L$4:$W$4,MAX(IF($L90:$W90&lt;&gt;"",COLUMN($L90:$W90)-COLUMN($L$9)+1)))</f>
        <v>42826</v>
      </c>
      <c r="Z90" s="266"/>
      <c r="AA90" s="206"/>
      <c r="AB90" s="206">
        <f t="shared" si="101"/>
        <v>0</v>
      </c>
      <c r="AC90" s="241"/>
      <c r="AD90" s="241"/>
      <c r="AE90" s="241"/>
      <c r="AF90" s="241"/>
      <c r="AG90" s="241"/>
      <c r="AH90" s="241"/>
      <c r="AN90" s="206"/>
      <c r="AO90" s="2">
        <v>0</v>
      </c>
      <c r="AP90" s="2" t="e">
        <f>#REF!-AO90</f>
        <v>#REF!</v>
      </c>
      <c r="AQ90" s="2" t="e">
        <f>AB90-#REF!</f>
        <v>#REF!</v>
      </c>
      <c r="BD90" s="2" t="e">
        <f>#REF!-#REF!</f>
        <v>#REF!</v>
      </c>
      <c r="BE90" s="2" t="e">
        <f>AQ90-#REF!</f>
        <v>#REF!</v>
      </c>
    </row>
    <row r="91" spans="1:67" ht="16.5" hidden="1" customHeight="1" x14ac:dyDescent="0.25">
      <c r="A91" s="125" t="s">
        <v>68</v>
      </c>
      <c r="B91" s="126"/>
      <c r="C91" s="182"/>
      <c r="D91" s="177"/>
      <c r="E91" s="177"/>
      <c r="F91" s="177"/>
      <c r="G91" s="129"/>
      <c r="H91" s="91" t="e">
        <f t="shared" si="100"/>
        <v>#REF!</v>
      </c>
      <c r="I91" s="91"/>
      <c r="J91" s="24"/>
      <c r="K91" s="18"/>
      <c r="M91" s="17"/>
      <c r="N91" s="17"/>
      <c r="O91" s="17"/>
      <c r="P91" s="17"/>
      <c r="Q91" s="17"/>
      <c r="R91" s="17"/>
      <c r="S91" s="17"/>
      <c r="T91" s="130"/>
      <c r="U91" s="17"/>
      <c r="V91" s="17"/>
      <c r="W91" s="18"/>
      <c r="X91" s="17"/>
      <c r="Y91" s="279">
        <f t="array" ref="Y91">INDEX($L$4:$W$4,MAX(IF($L91:$W91&lt;&gt;"",COLUMN($L91:$W91)-COLUMN($L$9)+1)))</f>
        <v>42826</v>
      </c>
      <c r="Z91" s="266"/>
      <c r="AA91" s="206"/>
      <c r="AB91" s="206">
        <f t="shared" si="101"/>
        <v>0</v>
      </c>
      <c r="AC91" s="241"/>
      <c r="AD91" s="241"/>
      <c r="AE91" s="241"/>
      <c r="AF91" s="241"/>
      <c r="AG91" s="241"/>
      <c r="AH91" s="241"/>
      <c r="AN91" s="206"/>
      <c r="AO91" s="2">
        <v>0</v>
      </c>
      <c r="AP91" s="2" t="e">
        <f>#REF!-AO91</f>
        <v>#REF!</v>
      </c>
      <c r="AQ91" s="2" t="e">
        <f>AB91-#REF!</f>
        <v>#REF!</v>
      </c>
      <c r="BD91" s="2" t="e">
        <f>#REF!-#REF!</f>
        <v>#REF!</v>
      </c>
      <c r="BE91" s="2" t="e">
        <f>AQ91-#REF!</f>
        <v>#REF!</v>
      </c>
    </row>
    <row r="92" spans="1:67" ht="16.5" hidden="1" customHeight="1" x14ac:dyDescent="0.25">
      <c r="A92" s="131"/>
      <c r="B92" s="126"/>
      <c r="C92" s="182"/>
      <c r="D92" s="177"/>
      <c r="E92" s="177"/>
      <c r="F92" s="177"/>
      <c r="G92" s="129"/>
      <c r="H92" s="91" t="e">
        <f t="shared" si="100"/>
        <v>#REF!</v>
      </c>
      <c r="I92" s="91"/>
      <c r="J92" s="24"/>
      <c r="K92" s="18"/>
      <c r="M92" s="17"/>
      <c r="N92" s="17"/>
      <c r="O92" s="17"/>
      <c r="P92" s="17"/>
      <c r="Q92" s="17"/>
      <c r="R92" s="17"/>
      <c r="S92" s="17"/>
      <c r="T92" s="130"/>
      <c r="U92" s="17"/>
      <c r="V92" s="17"/>
      <c r="W92" s="18"/>
      <c r="X92" s="17"/>
      <c r="Y92" s="279">
        <f t="array" ref="Y92">INDEX($L$4:$W$4,MAX(IF($L92:$W92&lt;&gt;"",COLUMN($L92:$W92)-COLUMN($L$9)+1)))</f>
        <v>42826</v>
      </c>
      <c r="Z92" s="266"/>
      <c r="AA92" s="206"/>
      <c r="AB92" s="206">
        <f t="shared" si="101"/>
        <v>0</v>
      </c>
      <c r="AC92" s="241"/>
      <c r="AD92" s="241"/>
      <c r="AE92" s="241"/>
      <c r="AF92" s="241"/>
      <c r="AG92" s="241"/>
      <c r="AH92" s="241"/>
      <c r="AN92" s="206"/>
      <c r="AO92" s="2">
        <v>0</v>
      </c>
      <c r="AP92" s="2" t="e">
        <f>#REF!-AO92</f>
        <v>#REF!</v>
      </c>
      <c r="AQ92" s="2" t="e">
        <f>AB92-#REF!</f>
        <v>#REF!</v>
      </c>
      <c r="BD92" s="2" t="e">
        <f>#REF!-#REF!</f>
        <v>#REF!</v>
      </c>
      <c r="BE92" s="2" t="e">
        <f>AQ92-#REF!</f>
        <v>#REF!</v>
      </c>
    </row>
    <row r="93" spans="1:67" ht="16.5" hidden="1" customHeight="1" x14ac:dyDescent="0.25">
      <c r="A93" s="125" t="s">
        <v>69</v>
      </c>
      <c r="B93" s="126"/>
      <c r="C93" s="182"/>
      <c r="D93" s="177"/>
      <c r="E93" s="177"/>
      <c r="F93" s="177"/>
      <c r="G93" s="129"/>
      <c r="H93" s="91" t="e">
        <f t="shared" si="100"/>
        <v>#REF!</v>
      </c>
      <c r="I93" s="91"/>
      <c r="J93" s="24"/>
      <c r="K93" s="18"/>
      <c r="M93" s="17"/>
      <c r="N93" s="17"/>
      <c r="O93" s="17"/>
      <c r="P93" s="17"/>
      <c r="Q93" s="17"/>
      <c r="R93" s="17"/>
      <c r="S93" s="17"/>
      <c r="T93" s="130"/>
      <c r="U93" s="17"/>
      <c r="V93" s="17"/>
      <c r="W93" s="18"/>
      <c r="X93" s="17"/>
      <c r="Y93" s="279">
        <f t="array" ref="Y93">INDEX($L$4:$W$4,MAX(IF($L93:$W93&lt;&gt;"",COLUMN($L93:$W93)-COLUMN($L$9)+1)))</f>
        <v>42826</v>
      </c>
      <c r="Z93" s="266"/>
      <c r="AA93" s="206"/>
      <c r="AB93" s="206">
        <f t="shared" si="101"/>
        <v>0</v>
      </c>
      <c r="AC93" s="241"/>
      <c r="AD93" s="241"/>
      <c r="AE93" s="241"/>
      <c r="AF93" s="241"/>
      <c r="AG93" s="241"/>
      <c r="AH93" s="241"/>
      <c r="AN93" s="206"/>
      <c r="AO93" s="2">
        <v>0</v>
      </c>
      <c r="AP93" s="2" t="e">
        <f>#REF!-AO93</f>
        <v>#REF!</v>
      </c>
      <c r="AQ93" s="2" t="e">
        <f>AB93-#REF!</f>
        <v>#REF!</v>
      </c>
      <c r="BD93" s="2" t="e">
        <f>#REF!-#REF!</f>
        <v>#REF!</v>
      </c>
      <c r="BE93" s="2" t="e">
        <f>AQ93-#REF!</f>
        <v>#REF!</v>
      </c>
    </row>
    <row r="94" spans="1:67" ht="16.5" hidden="1" customHeight="1" x14ac:dyDescent="0.25">
      <c r="A94" s="131"/>
      <c r="B94" s="126"/>
      <c r="C94" s="182"/>
      <c r="D94" s="177"/>
      <c r="E94" s="177"/>
      <c r="F94" s="177"/>
      <c r="G94" s="129"/>
      <c r="H94" s="91" t="e">
        <f t="shared" si="100"/>
        <v>#REF!</v>
      </c>
      <c r="I94" s="91"/>
      <c r="J94" s="24"/>
      <c r="K94" s="18"/>
      <c r="M94" s="17"/>
      <c r="N94" s="17"/>
      <c r="O94" s="17"/>
      <c r="P94" s="17"/>
      <c r="Q94" s="17"/>
      <c r="R94" s="17"/>
      <c r="S94" s="17"/>
      <c r="T94" s="130"/>
      <c r="U94" s="17"/>
      <c r="V94" s="17"/>
      <c r="W94" s="18"/>
      <c r="X94" s="17"/>
      <c r="Y94" s="279">
        <f t="array" ref="Y94">INDEX($L$4:$W$4,MAX(IF($L94:$W94&lt;&gt;"",COLUMN($L94:$W94)-COLUMN($L$9)+1)))</f>
        <v>42826</v>
      </c>
      <c r="Z94" s="266"/>
      <c r="AA94" s="206"/>
      <c r="AB94" s="206">
        <f t="shared" si="101"/>
        <v>0</v>
      </c>
      <c r="AC94" s="241"/>
      <c r="AD94" s="241"/>
      <c r="AE94" s="241"/>
      <c r="AF94" s="241"/>
      <c r="AG94" s="241"/>
      <c r="AH94" s="241"/>
      <c r="AN94" s="206"/>
      <c r="AO94" s="2">
        <v>0</v>
      </c>
      <c r="AP94" s="2" t="e">
        <f>#REF!-AO94</f>
        <v>#REF!</v>
      </c>
      <c r="AQ94" s="2" t="e">
        <f>AB94-#REF!</f>
        <v>#REF!</v>
      </c>
      <c r="BD94" s="2" t="e">
        <f>#REF!-#REF!</f>
        <v>#REF!</v>
      </c>
      <c r="BE94" s="2" t="e">
        <f>AQ94-#REF!</f>
        <v>#REF!</v>
      </c>
    </row>
    <row r="95" spans="1:67" ht="16.5" hidden="1" customHeight="1" x14ac:dyDescent="0.25">
      <c r="A95" s="131" t="s">
        <v>70</v>
      </c>
      <c r="B95" s="126"/>
      <c r="C95" s="182"/>
      <c r="D95" s="177"/>
      <c r="E95" s="177"/>
      <c r="F95" s="177"/>
      <c r="G95" s="129"/>
      <c r="H95" s="91" t="e">
        <f t="shared" si="100"/>
        <v>#REF!</v>
      </c>
      <c r="I95" s="91"/>
      <c r="J95" s="24"/>
      <c r="K95" s="18"/>
      <c r="M95" s="17"/>
      <c r="N95" s="17"/>
      <c r="O95" s="17"/>
      <c r="P95" s="17"/>
      <c r="Q95" s="17"/>
      <c r="R95" s="17"/>
      <c r="S95" s="17"/>
      <c r="T95" s="130"/>
      <c r="U95" s="17"/>
      <c r="V95" s="17"/>
      <c r="W95" s="18"/>
      <c r="X95" s="17"/>
      <c r="Y95" s="279">
        <f t="array" ref="Y95">INDEX($L$4:$W$4,MAX(IF($L95:$W95&lt;&gt;"",COLUMN($L95:$W95)-COLUMN($L$9)+1)))</f>
        <v>42826</v>
      </c>
      <c r="Z95" s="266"/>
      <c r="AA95" s="206"/>
      <c r="AB95" s="206">
        <f t="shared" si="101"/>
        <v>0</v>
      </c>
      <c r="AC95" s="241"/>
      <c r="AD95" s="241"/>
      <c r="AE95" s="241"/>
      <c r="AF95" s="241"/>
      <c r="AG95" s="241"/>
      <c r="AH95" s="241"/>
      <c r="AN95" s="206"/>
      <c r="AO95" s="2">
        <v>0</v>
      </c>
      <c r="AP95" s="2" t="e">
        <f>#REF!-AO95</f>
        <v>#REF!</v>
      </c>
      <c r="AQ95" s="2" t="e">
        <f>AB95-#REF!</f>
        <v>#REF!</v>
      </c>
      <c r="BD95" s="2" t="e">
        <f>#REF!-#REF!</f>
        <v>#REF!</v>
      </c>
      <c r="BE95" s="2" t="e">
        <f>AQ95-#REF!</f>
        <v>#REF!</v>
      </c>
    </row>
    <row r="96" spans="1:67" ht="16.5" hidden="1" customHeight="1" x14ac:dyDescent="0.25">
      <c r="A96" s="80"/>
      <c r="B96" s="126"/>
      <c r="C96" s="182"/>
      <c r="D96" s="177"/>
      <c r="E96" s="177"/>
      <c r="F96" s="177"/>
      <c r="G96" s="129"/>
      <c r="H96" s="91" t="e">
        <f t="shared" si="100"/>
        <v>#REF!</v>
      </c>
      <c r="I96" s="91"/>
      <c r="J96" s="24"/>
      <c r="K96" s="18"/>
      <c r="M96" s="17"/>
      <c r="N96" s="17"/>
      <c r="O96" s="17"/>
      <c r="P96" s="17"/>
      <c r="Q96" s="17"/>
      <c r="R96" s="17"/>
      <c r="S96" s="17"/>
      <c r="T96" s="130"/>
      <c r="U96" s="17"/>
      <c r="V96" s="17"/>
      <c r="W96" s="18"/>
      <c r="X96" s="17"/>
      <c r="Y96" s="279">
        <f t="array" ref="Y96">INDEX($L$4:$W$4,MAX(IF($L96:$W96&lt;&gt;"",COLUMN($L96:$W96)-COLUMN($L$9)+1)))</f>
        <v>42826</v>
      </c>
      <c r="Z96" s="266"/>
      <c r="AA96" s="206"/>
      <c r="AB96" s="206">
        <f t="shared" si="101"/>
        <v>0</v>
      </c>
      <c r="AC96" s="241"/>
      <c r="AD96" s="241"/>
      <c r="AE96" s="241"/>
      <c r="AF96" s="241"/>
      <c r="AG96" s="241"/>
      <c r="AH96" s="241"/>
      <c r="AN96" s="206"/>
      <c r="AO96" s="2">
        <v>0</v>
      </c>
      <c r="AP96" s="2" t="e">
        <f>#REF!-AO96</f>
        <v>#REF!</v>
      </c>
      <c r="AQ96" s="2" t="e">
        <f>AB96-#REF!</f>
        <v>#REF!</v>
      </c>
      <c r="BD96" s="2" t="e">
        <f>#REF!-#REF!</f>
        <v>#REF!</v>
      </c>
      <c r="BE96" s="2" t="e">
        <f>AQ96-#REF!</f>
        <v>#REF!</v>
      </c>
    </row>
    <row r="97" spans="1:67" ht="16.5" hidden="1" customHeight="1" x14ac:dyDescent="0.25">
      <c r="A97" s="80" t="s">
        <v>71</v>
      </c>
      <c r="B97" s="126"/>
      <c r="C97" s="182"/>
      <c r="D97" s="177"/>
      <c r="E97" s="177"/>
      <c r="F97" s="177"/>
      <c r="G97" s="129"/>
      <c r="H97" s="91" t="e">
        <f t="shared" si="100"/>
        <v>#REF!</v>
      </c>
      <c r="I97" s="91"/>
      <c r="J97" s="24"/>
      <c r="K97" s="18"/>
      <c r="M97" s="17"/>
      <c r="N97" s="17"/>
      <c r="O97" s="17"/>
      <c r="P97" s="17"/>
      <c r="Q97" s="17"/>
      <c r="R97" s="17"/>
      <c r="S97" s="17"/>
      <c r="T97" s="130"/>
      <c r="U97" s="17"/>
      <c r="V97" s="17"/>
      <c r="W97" s="18"/>
      <c r="X97" s="17"/>
      <c r="Y97" s="279">
        <f t="array" ref="Y97">INDEX($L$4:$W$4,MAX(IF($L97:$W97&lt;&gt;"",COLUMN($L97:$W97)-COLUMN($L$9)+1)))</f>
        <v>42826</v>
      </c>
      <c r="Z97" s="266"/>
      <c r="AA97" s="206"/>
      <c r="AB97" s="206">
        <f t="shared" si="101"/>
        <v>0</v>
      </c>
      <c r="AC97" s="241"/>
      <c r="AD97" s="241"/>
      <c r="AE97" s="241"/>
      <c r="AF97" s="241"/>
      <c r="AG97" s="241"/>
      <c r="AH97" s="241"/>
      <c r="AN97" s="206"/>
      <c r="AO97" s="2">
        <v>0</v>
      </c>
      <c r="AP97" s="2" t="e">
        <f>#REF!-AO97</f>
        <v>#REF!</v>
      </c>
      <c r="AQ97" s="2" t="e">
        <f>AB97-#REF!</f>
        <v>#REF!</v>
      </c>
      <c r="BD97" s="2" t="e">
        <f>#REF!-#REF!</f>
        <v>#REF!</v>
      </c>
      <c r="BE97" s="2" t="e">
        <f>AQ97-#REF!</f>
        <v>#REF!</v>
      </c>
    </row>
    <row r="98" spans="1:67" ht="16.5" hidden="1" customHeight="1" x14ac:dyDescent="0.25">
      <c r="A98" s="80"/>
      <c r="B98" s="126"/>
      <c r="C98" s="182"/>
      <c r="D98" s="177"/>
      <c r="E98" s="177"/>
      <c r="F98" s="177"/>
      <c r="G98" s="129"/>
      <c r="H98" s="91" t="e">
        <f t="shared" si="100"/>
        <v>#REF!</v>
      </c>
      <c r="I98" s="91"/>
      <c r="J98" s="24"/>
      <c r="K98" s="18"/>
      <c r="M98" s="17"/>
      <c r="N98" s="17"/>
      <c r="O98" s="17"/>
      <c r="P98" s="17"/>
      <c r="Q98" s="17"/>
      <c r="R98" s="17"/>
      <c r="S98" s="17"/>
      <c r="T98" s="130"/>
      <c r="U98" s="17"/>
      <c r="V98" s="17"/>
      <c r="W98" s="18"/>
      <c r="X98" s="17"/>
      <c r="Y98" s="279">
        <f t="array" ref="Y98">INDEX($L$4:$W$4,MAX(IF($L98:$W98&lt;&gt;"",COLUMN($L98:$W98)-COLUMN($L$9)+1)))</f>
        <v>42826</v>
      </c>
      <c r="Z98" s="266"/>
      <c r="AA98" s="206"/>
      <c r="AB98" s="206">
        <f t="shared" si="101"/>
        <v>0</v>
      </c>
      <c r="AC98" s="241"/>
      <c r="AD98" s="241"/>
      <c r="AE98" s="241"/>
      <c r="AF98" s="241"/>
      <c r="AG98" s="241"/>
      <c r="AH98" s="241"/>
      <c r="AN98" s="206"/>
      <c r="AO98" s="2">
        <v>0</v>
      </c>
      <c r="AP98" s="2" t="e">
        <f>#REF!-AO98</f>
        <v>#REF!</v>
      </c>
      <c r="AQ98" s="2" t="e">
        <f>AB98-#REF!</f>
        <v>#REF!</v>
      </c>
      <c r="BD98" s="2" t="e">
        <f>#REF!-#REF!</f>
        <v>#REF!</v>
      </c>
      <c r="BE98" s="2" t="e">
        <f>AQ98-#REF!</f>
        <v>#REF!</v>
      </c>
    </row>
    <row r="99" spans="1:67" ht="30.75" hidden="1" customHeight="1" x14ac:dyDescent="0.25">
      <c r="A99" s="125" t="s">
        <v>72</v>
      </c>
      <c r="B99" s="126"/>
      <c r="C99" s="182"/>
      <c r="D99" s="177"/>
      <c r="E99" s="177"/>
      <c r="F99" s="177"/>
      <c r="G99" s="129"/>
      <c r="H99" s="91" t="e">
        <f t="shared" si="100"/>
        <v>#REF!</v>
      </c>
      <c r="I99" s="91"/>
      <c r="J99" s="24"/>
      <c r="K99" s="18"/>
      <c r="M99" s="17"/>
      <c r="N99" s="17"/>
      <c r="O99" s="17"/>
      <c r="P99" s="17"/>
      <c r="Q99" s="17"/>
      <c r="R99" s="17"/>
      <c r="S99" s="17"/>
      <c r="T99" s="130"/>
      <c r="U99" s="17"/>
      <c r="V99" s="17"/>
      <c r="W99" s="18"/>
      <c r="X99" s="17"/>
      <c r="Y99" s="279">
        <f t="array" ref="Y99">INDEX($L$4:$W$4,MAX(IF($L99:$W99&lt;&gt;"",COLUMN($L99:$W99)-COLUMN($L$9)+1)))</f>
        <v>42826</v>
      </c>
      <c r="Z99" s="266"/>
      <c r="AA99" s="206"/>
      <c r="AB99" s="206">
        <f t="shared" si="101"/>
        <v>0</v>
      </c>
      <c r="AC99" s="241"/>
      <c r="AD99" s="241"/>
      <c r="AE99" s="241"/>
      <c r="AF99" s="241"/>
      <c r="AG99" s="241"/>
      <c r="AH99" s="241"/>
      <c r="AN99" s="206"/>
      <c r="AO99" s="2">
        <v>0</v>
      </c>
      <c r="AP99" s="2" t="e">
        <f>#REF!-AO99</f>
        <v>#REF!</v>
      </c>
      <c r="AQ99" s="2" t="e">
        <f>AB99-#REF!</f>
        <v>#REF!</v>
      </c>
      <c r="BD99" s="2" t="e">
        <f>#REF!-#REF!</f>
        <v>#REF!</v>
      </c>
      <c r="BE99" s="2" t="e">
        <f>AQ99-#REF!</f>
        <v>#REF!</v>
      </c>
    </row>
    <row r="100" spans="1:67" ht="15.9" hidden="1" customHeight="1" thickBot="1" x14ac:dyDescent="0.3">
      <c r="A100" s="131"/>
      <c r="B100" s="93"/>
      <c r="C100" s="182"/>
      <c r="D100" s="178"/>
      <c r="E100" s="178"/>
      <c r="F100" s="178"/>
      <c r="G100" s="137"/>
      <c r="H100" s="91" t="e">
        <f t="shared" si="100"/>
        <v>#REF!</v>
      </c>
      <c r="I100" s="91"/>
      <c r="J100" s="24"/>
      <c r="K100" s="18"/>
      <c r="M100" s="17"/>
      <c r="N100" s="17"/>
      <c r="O100" s="17"/>
      <c r="P100" s="17"/>
      <c r="Q100" s="17"/>
      <c r="R100" s="17"/>
      <c r="S100" s="17"/>
      <c r="T100" s="138"/>
      <c r="U100" s="17"/>
      <c r="V100" s="17"/>
      <c r="W100" s="18"/>
      <c r="X100" s="17"/>
      <c r="Y100" s="279">
        <f t="array" ref="Y100">INDEX($L$4:$W$4,MAX(IF($L100:$W100&lt;&gt;"",COLUMN($L100:$W100)-COLUMN($L$9)+1)))</f>
        <v>42826</v>
      </c>
      <c r="Z100" s="266"/>
      <c r="AA100" s="206"/>
      <c r="AB100" s="206">
        <f t="shared" si="101"/>
        <v>0</v>
      </c>
      <c r="AC100" s="241"/>
      <c r="AD100" s="241"/>
      <c r="AE100" s="241"/>
      <c r="AF100" s="241"/>
      <c r="AG100" s="241"/>
      <c r="AH100" s="241"/>
      <c r="AN100" s="206"/>
      <c r="AO100" s="2">
        <v>0</v>
      </c>
      <c r="AP100" s="2" t="e">
        <f>#REF!-AO100</f>
        <v>#REF!</v>
      </c>
      <c r="AQ100" s="2" t="e">
        <f>AB100-#REF!</f>
        <v>#REF!</v>
      </c>
      <c r="BD100" s="2" t="e">
        <f>#REF!-#REF!</f>
        <v>#REF!</v>
      </c>
      <c r="BE100" s="2" t="e">
        <f>AQ100-#REF!</f>
        <v>#REF!</v>
      </c>
    </row>
    <row r="101" spans="1:67" s="115" customFormat="1" ht="22.2" hidden="1" customHeight="1" x14ac:dyDescent="0.25">
      <c r="A101" s="381" t="s">
        <v>73</v>
      </c>
      <c r="B101" s="103"/>
      <c r="C101" s="382">
        <f>SUM(C103:C104)</f>
        <v>2508</v>
      </c>
      <c r="D101" s="181">
        <v>2500</v>
      </c>
      <c r="E101" s="191">
        <v>2200</v>
      </c>
      <c r="F101" s="103" t="s">
        <v>121</v>
      </c>
      <c r="G101" s="254"/>
      <c r="H101" s="260">
        <f t="array" aca="1" ref="H101" ca="1">(OFFSET(L101,0,MAX((L101:W101&lt;&gt;"")*(COLUMN(L101:W101)))-COLUMN(L101)))</f>
        <v>2134</v>
      </c>
      <c r="I101" s="326"/>
      <c r="J101" s="324"/>
      <c r="K101" s="181">
        <f>SUM(K103:K104)</f>
        <v>2508</v>
      </c>
      <c r="L101" s="191">
        <f t="shared" ref="L101:S101" si="102">IF(L103="","",(L103+L104))</f>
        <v>2460</v>
      </c>
      <c r="M101" s="371">
        <f t="shared" si="102"/>
        <v>2455</v>
      </c>
      <c r="N101" s="371">
        <f t="shared" si="102"/>
        <v>2393</v>
      </c>
      <c r="O101" s="371">
        <f t="shared" si="102"/>
        <v>2382</v>
      </c>
      <c r="P101" s="371">
        <f t="shared" si="102"/>
        <v>2385</v>
      </c>
      <c r="Q101" s="371">
        <f t="shared" si="102"/>
        <v>2355</v>
      </c>
      <c r="R101" s="371">
        <f t="shared" si="102"/>
        <v>2315</v>
      </c>
      <c r="S101" s="371">
        <f t="shared" si="102"/>
        <v>2262</v>
      </c>
      <c r="T101" s="371">
        <f>IF(T103="","",(T103+T104))</f>
        <v>2221</v>
      </c>
      <c r="U101" s="371">
        <v>2134</v>
      </c>
      <c r="V101" s="371" t="str">
        <f t="shared" ref="V101:W101" si="103">IF(V103="","",(V103+V104))</f>
        <v/>
      </c>
      <c r="W101" s="292" t="str">
        <f t="shared" si="103"/>
        <v/>
      </c>
      <c r="X101" s="259" t="s">
        <v>115</v>
      </c>
      <c r="Y101" s="279">
        <f t="array" ref="Y101">INDEX($L$4:$W$4,MAX(IF($L101:$W101&lt;&gt;"",COLUMN($L101:$W101)-COLUMN($L$9)+1)))</f>
        <v>43101</v>
      </c>
      <c r="Z101" s="266"/>
      <c r="AA101" s="273"/>
      <c r="AB101" s="222">
        <f t="shared" si="101"/>
        <v>-5</v>
      </c>
      <c r="AC101" s="222">
        <f>IF(N101="","",(N101-M101))</f>
        <v>-62</v>
      </c>
      <c r="AD101" s="222">
        <f>IF(O101="","",(O101-N101))</f>
        <v>-11</v>
      </c>
      <c r="AE101" s="222">
        <f>IF(P101="","",(P101-O101))</f>
        <v>3</v>
      </c>
      <c r="AF101" s="222">
        <f t="shared" ref="AF101:AL101" si="104">IF(Q101="","",(Q101-P101))</f>
        <v>-30</v>
      </c>
      <c r="AG101" s="222">
        <f t="shared" si="104"/>
        <v>-40</v>
      </c>
      <c r="AH101" s="222">
        <f t="shared" si="104"/>
        <v>-53</v>
      </c>
      <c r="AI101" s="222">
        <f t="shared" si="104"/>
        <v>-41</v>
      </c>
      <c r="AJ101" s="409">
        <f t="shared" si="104"/>
        <v>-87</v>
      </c>
      <c r="AK101" s="222" t="str">
        <f t="shared" si="104"/>
        <v/>
      </c>
      <c r="AL101" s="222" t="str">
        <f t="shared" si="104"/>
        <v/>
      </c>
      <c r="AM101" s="112"/>
      <c r="AN101" s="222">
        <f>HLOOKUP(Y101,staggered,98,FALSE)</f>
        <v>2200</v>
      </c>
      <c r="AO101" s="218"/>
      <c r="AP101" s="264">
        <f>((VALUE((RIGHT(E101,5))))/12)*12</f>
        <v>2200</v>
      </c>
      <c r="AQ101" s="264">
        <f>((VALUE((RIGHT(E101,5))))/12)*12</f>
        <v>2200</v>
      </c>
      <c r="AR101" s="264">
        <f>((VALUE((RIGHT(E101,5))))/12)*12</f>
        <v>2200</v>
      </c>
      <c r="AS101" s="264">
        <f>((VALUE((RIGHT(E101,5))))/12)*12</f>
        <v>2200</v>
      </c>
      <c r="AT101" s="264">
        <f>((VALUE((RIGHT(E101,5))))/12)*12</f>
        <v>2200</v>
      </c>
      <c r="AU101" s="264">
        <f>((VALUE((RIGHT(E101,5))))/12)*12</f>
        <v>2200</v>
      </c>
      <c r="AV101" s="264">
        <f>((VALUE((RIGHT(E101,5))))/12)*12</f>
        <v>2200</v>
      </c>
      <c r="AW101" s="264">
        <f>((VALUE((RIGHT(E101,5))))/12)*12</f>
        <v>2200</v>
      </c>
      <c r="AX101" s="264">
        <f>((VALUE((RIGHT(E101,5))))/12)*12</f>
        <v>2200</v>
      </c>
      <c r="AY101" s="264">
        <f>((VALUE((RIGHT(E101,5))))/12)*12</f>
        <v>2200</v>
      </c>
      <c r="AZ101" s="264">
        <f>((VALUE((RIGHT(E101,5))))/12)*12</f>
        <v>2200</v>
      </c>
      <c r="BA101" s="269">
        <f>((VALUE((RIGHT(E101,5))))/12)*12</f>
        <v>2200</v>
      </c>
      <c r="BB101" s="268"/>
      <c r="BC101" s="273">
        <f>HLOOKUP(Y101,amber,98,FALSE)</f>
        <v>2300</v>
      </c>
      <c r="BD101" s="262">
        <f t="shared" ref="BD101:BO101" si="105">(2300/12)*12</f>
        <v>2300</v>
      </c>
      <c r="BE101" s="262">
        <f t="shared" si="105"/>
        <v>2300</v>
      </c>
      <c r="BF101" s="262">
        <f t="shared" si="105"/>
        <v>2300</v>
      </c>
      <c r="BG101" s="262">
        <f t="shared" si="105"/>
        <v>2300</v>
      </c>
      <c r="BH101" s="262">
        <f t="shared" si="105"/>
        <v>2300</v>
      </c>
      <c r="BI101" s="262">
        <f t="shared" si="105"/>
        <v>2300</v>
      </c>
      <c r="BJ101" s="262">
        <f t="shared" si="105"/>
        <v>2300</v>
      </c>
      <c r="BK101" s="262">
        <f t="shared" si="105"/>
        <v>2300</v>
      </c>
      <c r="BL101" s="262">
        <f t="shared" si="105"/>
        <v>2300</v>
      </c>
      <c r="BM101" s="262">
        <f t="shared" si="105"/>
        <v>2300</v>
      </c>
      <c r="BN101" s="262">
        <f t="shared" si="105"/>
        <v>2300</v>
      </c>
      <c r="BO101" s="262">
        <f t="shared" si="105"/>
        <v>2300</v>
      </c>
    </row>
    <row r="102" spans="1:67" ht="22.2" hidden="1" customHeight="1" x14ac:dyDescent="0.25">
      <c r="A102" s="347" t="s">
        <v>74</v>
      </c>
      <c r="B102" s="17"/>
      <c r="C102" s="17"/>
      <c r="D102" s="17"/>
      <c r="E102" s="17"/>
      <c r="F102" s="17"/>
      <c r="G102" s="205"/>
      <c r="H102" s="17" t="str">
        <f>IF((SUM(L102:WB102))=0,"",(SUM(L102:WB102)))</f>
        <v/>
      </c>
      <c r="J102" s="17"/>
      <c r="K102" s="18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8"/>
      <c r="X102" s="17"/>
      <c r="Y102" s="279"/>
      <c r="Z102" s="266"/>
      <c r="AA102" s="206"/>
      <c r="AB102" s="206"/>
      <c r="AC102" s="241"/>
      <c r="AD102" s="241"/>
      <c r="AE102" s="241"/>
      <c r="AF102" s="241"/>
      <c r="AG102" s="241"/>
      <c r="AH102" s="241"/>
      <c r="AN102" s="206"/>
    </row>
    <row r="103" spans="1:67" ht="22.2" hidden="1" customHeight="1" x14ac:dyDescent="0.25">
      <c r="A103" s="383" t="s">
        <v>75</v>
      </c>
      <c r="B103" s="256"/>
      <c r="C103" s="382">
        <v>2250</v>
      </c>
      <c r="D103" s="386"/>
      <c r="E103" s="391"/>
      <c r="F103" s="261"/>
      <c r="G103" s="261"/>
      <c r="H103" s="261">
        <f t="array" aca="1" ref="H103" ca="1">(OFFSET(L103,0,MAX((L103:W103&lt;&gt;"")*(COLUMN(L103:W103)))-COLUMN(L103)))</f>
        <v>1890</v>
      </c>
      <c r="I103" s="261"/>
      <c r="J103" s="324"/>
      <c r="K103" s="389">
        <v>2250</v>
      </c>
      <c r="L103" s="191">
        <v>2231</v>
      </c>
      <c r="M103" s="103">
        <v>2250</v>
      </c>
      <c r="N103" s="103">
        <v>2179</v>
      </c>
      <c r="O103" s="103">
        <v>2141</v>
      </c>
      <c r="P103" s="103">
        <v>2155</v>
      </c>
      <c r="Q103" s="103">
        <v>2158</v>
      </c>
      <c r="R103" s="103">
        <v>2103</v>
      </c>
      <c r="S103" s="103">
        <v>2045</v>
      </c>
      <c r="T103" s="371">
        <v>1984</v>
      </c>
      <c r="U103" s="103">
        <v>1890</v>
      </c>
      <c r="V103" s="103"/>
      <c r="W103" s="292"/>
      <c r="X103" s="211"/>
      <c r="Y103" s="279">
        <f t="array" ref="Y103">INDEX($L$4:$W$4,MAX(IF($L103:$W103&lt;&gt;"",COLUMN($L103:$W103)-COLUMN($L$9)+1)))</f>
        <v>43101</v>
      </c>
      <c r="Z103" s="266"/>
      <c r="AA103" s="273">
        <v>0</v>
      </c>
      <c r="AB103" s="222">
        <f>M103-L103</f>
        <v>19</v>
      </c>
      <c r="AC103" s="222">
        <f t="shared" ref="AC103:AL104" si="106">IF(N103="","",(N103-M103))</f>
        <v>-71</v>
      </c>
      <c r="AD103" s="222">
        <f t="shared" si="106"/>
        <v>-38</v>
      </c>
      <c r="AE103" s="222">
        <f t="shared" si="106"/>
        <v>14</v>
      </c>
      <c r="AF103" s="222">
        <f t="shared" si="106"/>
        <v>3</v>
      </c>
      <c r="AG103" s="222">
        <f t="shared" si="106"/>
        <v>-55</v>
      </c>
      <c r="AH103" s="222">
        <f t="shared" si="106"/>
        <v>-58</v>
      </c>
      <c r="AI103" s="222">
        <f t="shared" si="106"/>
        <v>-61</v>
      </c>
      <c r="AJ103" s="409">
        <f t="shared" si="106"/>
        <v>-94</v>
      </c>
      <c r="AK103" s="222" t="str">
        <f t="shared" si="106"/>
        <v/>
      </c>
      <c r="AL103" s="222" t="str">
        <f t="shared" si="106"/>
        <v/>
      </c>
      <c r="AM103" s="17"/>
      <c r="AN103" s="218"/>
      <c r="AO103" s="218">
        <v>-44.5</v>
      </c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34"/>
      <c r="BC103" s="17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</row>
    <row r="104" spans="1:67" ht="22.2" hidden="1" customHeight="1" x14ac:dyDescent="0.25">
      <c r="A104" s="383" t="s">
        <v>76</v>
      </c>
      <c r="B104" s="256"/>
      <c r="C104" s="382">
        <v>258</v>
      </c>
      <c r="D104" s="386"/>
      <c r="E104" s="391"/>
      <c r="F104" s="261"/>
      <c r="G104" s="261"/>
      <c r="H104" s="261">
        <f t="array" aca="1" ref="H104" ca="1">(OFFSET(L104,0,MAX((L104:W104&lt;&gt;"")*(COLUMN(L104:W104)))-COLUMN(L104)))</f>
        <v>244</v>
      </c>
      <c r="I104" s="261"/>
      <c r="J104" s="324"/>
      <c r="K104" s="389">
        <v>258</v>
      </c>
      <c r="L104" s="191">
        <v>229</v>
      </c>
      <c r="M104" s="103">
        <v>205</v>
      </c>
      <c r="N104" s="103">
        <v>214</v>
      </c>
      <c r="O104" s="103">
        <v>241</v>
      </c>
      <c r="P104" s="103">
        <v>230</v>
      </c>
      <c r="Q104" s="103">
        <v>197</v>
      </c>
      <c r="R104" s="103">
        <v>212</v>
      </c>
      <c r="S104" s="103">
        <v>217</v>
      </c>
      <c r="T104" s="371">
        <v>237</v>
      </c>
      <c r="U104" s="103">
        <v>244</v>
      </c>
      <c r="V104" s="103"/>
      <c r="W104" s="292"/>
      <c r="X104" s="211"/>
      <c r="Y104" s="279">
        <f t="array" ref="Y104">INDEX($L$4:$W$4,MAX(IF($L104:$W104&lt;&gt;"",COLUMN($L104:$W104)-COLUMN($L$9)+1)))</f>
        <v>43101</v>
      </c>
      <c r="Z104" s="266"/>
      <c r="AA104" s="273">
        <v>0</v>
      </c>
      <c r="AB104" s="222">
        <f>M104-L104</f>
        <v>-24</v>
      </c>
      <c r="AC104" s="222">
        <f t="shared" si="106"/>
        <v>9</v>
      </c>
      <c r="AD104" s="222">
        <f t="shared" si="106"/>
        <v>27</v>
      </c>
      <c r="AE104" s="222">
        <f t="shared" si="106"/>
        <v>-11</v>
      </c>
      <c r="AF104" s="222">
        <f t="shared" si="106"/>
        <v>-33</v>
      </c>
      <c r="AG104" s="222">
        <f t="shared" si="106"/>
        <v>15</v>
      </c>
      <c r="AH104" s="222">
        <f t="shared" si="106"/>
        <v>5</v>
      </c>
      <c r="AI104" s="222">
        <f t="shared" si="106"/>
        <v>20</v>
      </c>
      <c r="AJ104" s="222">
        <f t="shared" si="106"/>
        <v>7</v>
      </c>
      <c r="AK104" s="222" t="str">
        <f t="shared" si="106"/>
        <v/>
      </c>
      <c r="AL104" s="222" t="str">
        <f t="shared" si="106"/>
        <v/>
      </c>
      <c r="AM104" s="17"/>
      <c r="AN104" s="218"/>
      <c r="AO104" s="218">
        <v>39.5</v>
      </c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34"/>
      <c r="BC104" s="17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</row>
    <row r="105" spans="1:67" ht="4.5" hidden="1" customHeight="1" x14ac:dyDescent="0.25">
      <c r="A105" s="28"/>
      <c r="B105" s="17"/>
      <c r="C105" s="17"/>
      <c r="D105" s="17"/>
      <c r="E105" s="17"/>
      <c r="F105" s="17"/>
      <c r="G105" s="205"/>
      <c r="H105" s="17" t="str">
        <f>IF((SUM(L105:WB105))=0,"",(SUM(L105:WB105)))</f>
        <v/>
      </c>
      <c r="J105" s="17"/>
      <c r="K105" s="18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8"/>
      <c r="X105" s="17"/>
      <c r="Y105" s="279"/>
      <c r="Z105" s="266"/>
      <c r="AA105" s="206"/>
      <c r="AB105" s="206"/>
      <c r="AC105" s="241"/>
      <c r="AD105" s="241"/>
      <c r="AE105" s="241"/>
      <c r="AF105" s="241"/>
      <c r="AG105" s="241"/>
      <c r="AH105" s="241"/>
    </row>
    <row r="106" spans="1:67" ht="22.2" hidden="1" customHeight="1" x14ac:dyDescent="0.25">
      <c r="A106" s="355" t="s">
        <v>77</v>
      </c>
      <c r="B106" s="17"/>
      <c r="C106" s="17"/>
      <c r="D106" s="17"/>
      <c r="E106" s="17"/>
      <c r="F106" s="17"/>
      <c r="G106" s="205"/>
      <c r="H106" s="17" t="str">
        <f>IF((SUM(L106:WB106))=0,"",(SUM(L106:WB106)))</f>
        <v/>
      </c>
      <c r="J106" s="17"/>
      <c r="K106" s="18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8"/>
      <c r="X106" s="17"/>
      <c r="Y106" s="279"/>
      <c r="Z106" s="266"/>
      <c r="AA106" s="206"/>
      <c r="AB106" s="206"/>
      <c r="AC106" s="241"/>
      <c r="AD106" s="241"/>
      <c r="AE106" s="241"/>
      <c r="AF106" s="241"/>
      <c r="AG106" s="241"/>
      <c r="AH106" s="241"/>
    </row>
    <row r="107" spans="1:67" ht="22.2" hidden="1" customHeight="1" x14ac:dyDescent="0.25">
      <c r="A107" s="381" t="s">
        <v>78</v>
      </c>
      <c r="B107" s="103"/>
      <c r="C107" s="187">
        <v>661</v>
      </c>
      <c r="D107" s="181">
        <v>879</v>
      </c>
      <c r="E107" s="340" t="s">
        <v>119</v>
      </c>
      <c r="F107" s="101"/>
      <c r="G107" s="254"/>
      <c r="H107" s="103">
        <f t="array" aca="1" ref="H107" ca="1">(OFFSET(L107,0,MAX((L107:W107&lt;&gt;"")*(COLUMN(L107:W107)))-COLUMN(L107)))</f>
        <v>618</v>
      </c>
      <c r="I107" s="101"/>
      <c r="J107" s="324"/>
      <c r="K107" s="181">
        <v>661</v>
      </c>
      <c r="L107" s="191">
        <v>656</v>
      </c>
      <c r="M107" s="103">
        <v>649</v>
      </c>
      <c r="N107" s="371">
        <v>663</v>
      </c>
      <c r="O107" s="103">
        <v>669</v>
      </c>
      <c r="P107" s="103">
        <v>673</v>
      </c>
      <c r="Q107" s="103">
        <v>675</v>
      </c>
      <c r="R107" s="103">
        <v>678</v>
      </c>
      <c r="S107" s="103">
        <v>659</v>
      </c>
      <c r="T107" s="371">
        <v>644</v>
      </c>
      <c r="U107" s="103">
        <v>618</v>
      </c>
      <c r="V107" s="103"/>
      <c r="W107" s="292"/>
      <c r="X107" s="211"/>
      <c r="Y107" s="279">
        <f t="array" ref="Y107">INDEX($L$4:$W$4,MAX(IF($L107:$W107&lt;&gt;"",COLUMN($L107:$W107)-COLUMN($L$9)+1)))</f>
        <v>43101</v>
      </c>
      <c r="Z107" s="266"/>
      <c r="AA107" s="273">
        <v>0</v>
      </c>
      <c r="AB107" s="222">
        <f>M107-L107</f>
        <v>-7</v>
      </c>
      <c r="AC107" s="222">
        <f t="shared" ref="AC107:AL110" si="107">IF(N107="","",(N107-M107))</f>
        <v>14</v>
      </c>
      <c r="AD107" s="222">
        <f t="shared" si="107"/>
        <v>6</v>
      </c>
      <c r="AE107" s="222">
        <f t="shared" si="107"/>
        <v>4</v>
      </c>
      <c r="AF107" s="222">
        <f t="shared" si="107"/>
        <v>2</v>
      </c>
      <c r="AG107" s="222">
        <f t="shared" si="107"/>
        <v>3</v>
      </c>
      <c r="AH107" s="222">
        <f t="shared" si="107"/>
        <v>-19</v>
      </c>
      <c r="AI107" s="222">
        <f t="shared" si="107"/>
        <v>-15</v>
      </c>
      <c r="AJ107" s="409">
        <f t="shared" si="107"/>
        <v>-26</v>
      </c>
      <c r="AK107" s="222" t="str">
        <f t="shared" si="107"/>
        <v/>
      </c>
      <c r="AL107" s="222" t="str">
        <f t="shared" si="107"/>
        <v/>
      </c>
      <c r="AM107" s="17"/>
      <c r="AN107" s="222"/>
      <c r="AO107" s="218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9"/>
      <c r="BC107" s="17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</row>
    <row r="108" spans="1:67" ht="22.2" hidden="1" customHeight="1" x14ac:dyDescent="0.25">
      <c r="A108" s="306" t="s">
        <v>149</v>
      </c>
      <c r="B108" s="103"/>
      <c r="C108" s="187">
        <v>0</v>
      </c>
      <c r="D108" s="181"/>
      <c r="E108" s="392"/>
      <c r="F108" s="101"/>
      <c r="G108" s="254"/>
      <c r="H108" s="103">
        <f t="array" aca="1" ref="H108" ca="1">(OFFSET(L108,0,MAX((L108:W108&lt;&gt;"")*(COLUMN(L108:W108)))-COLUMN(L108)))</f>
        <v>3</v>
      </c>
      <c r="I108" s="101"/>
      <c r="J108" s="324"/>
      <c r="K108" s="181">
        <v>0</v>
      </c>
      <c r="L108" s="191">
        <v>0</v>
      </c>
      <c r="M108" s="103">
        <v>0</v>
      </c>
      <c r="N108" s="371">
        <v>0</v>
      </c>
      <c r="O108" s="103">
        <v>0</v>
      </c>
      <c r="P108" s="103">
        <v>0</v>
      </c>
      <c r="Q108" s="103">
        <v>0</v>
      </c>
      <c r="R108" s="103">
        <v>0</v>
      </c>
      <c r="S108" s="103">
        <v>0</v>
      </c>
      <c r="T108" s="371">
        <v>0</v>
      </c>
      <c r="U108" s="103">
        <v>3</v>
      </c>
      <c r="V108" s="103"/>
      <c r="W108" s="292"/>
      <c r="X108" s="211"/>
      <c r="Y108" s="279">
        <f t="array" ref="Y108">INDEX($L$4:$W$4,MAX(IF($L108:$W108&lt;&gt;"",COLUMN($L108:$W108)-COLUMN($L$9)+1)))</f>
        <v>43101</v>
      </c>
      <c r="Z108" s="266"/>
      <c r="AA108" s="273">
        <v>0</v>
      </c>
      <c r="AB108" s="222">
        <f>M108-L108</f>
        <v>0</v>
      </c>
      <c r="AC108" s="222">
        <f t="shared" si="107"/>
        <v>0</v>
      </c>
      <c r="AD108" s="222">
        <f t="shared" si="107"/>
        <v>0</v>
      </c>
      <c r="AE108" s="222">
        <f t="shared" si="107"/>
        <v>0</v>
      </c>
      <c r="AF108" s="222">
        <f t="shared" si="107"/>
        <v>0</v>
      </c>
      <c r="AG108" s="222">
        <f t="shared" si="107"/>
        <v>0</v>
      </c>
      <c r="AH108" s="222">
        <f t="shared" si="107"/>
        <v>0</v>
      </c>
      <c r="AI108" s="222">
        <f t="shared" si="107"/>
        <v>0</v>
      </c>
      <c r="AJ108" s="222">
        <f t="shared" si="107"/>
        <v>3</v>
      </c>
      <c r="AK108" s="222" t="str">
        <f t="shared" si="107"/>
        <v/>
      </c>
      <c r="AL108" s="222" t="str">
        <f t="shared" si="107"/>
        <v/>
      </c>
      <c r="AM108" s="17"/>
      <c r="AN108" s="218"/>
      <c r="AO108" s="218">
        <v>-2.5</v>
      </c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34"/>
      <c r="BC108" s="17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</row>
    <row r="109" spans="1:67" s="61" customFormat="1" ht="22.2" hidden="1" customHeight="1" x14ac:dyDescent="0.25">
      <c r="A109" s="306" t="s">
        <v>150</v>
      </c>
      <c r="B109" s="103"/>
      <c r="C109" s="187">
        <v>248</v>
      </c>
      <c r="D109" s="181"/>
      <c r="E109" s="340"/>
      <c r="F109" s="101"/>
      <c r="G109" s="254"/>
      <c r="H109" s="103">
        <f t="array" aca="1" ref="H109" ca="1">(OFFSET(L109,0,MAX((L109:W109&lt;&gt;"")*(COLUMN(L109:W109)))-COLUMN(L109)))</f>
        <v>214</v>
      </c>
      <c r="I109" s="101"/>
      <c r="J109" s="324"/>
      <c r="K109" s="181">
        <v>248</v>
      </c>
      <c r="L109" s="191">
        <v>244</v>
      </c>
      <c r="M109" s="103">
        <v>244</v>
      </c>
      <c r="N109" s="371">
        <v>244</v>
      </c>
      <c r="O109" s="103">
        <v>272</v>
      </c>
      <c r="P109" s="103">
        <v>255</v>
      </c>
      <c r="Q109" s="103">
        <v>261</v>
      </c>
      <c r="R109" s="103">
        <v>250</v>
      </c>
      <c r="S109" s="103">
        <v>235</v>
      </c>
      <c r="T109" s="371">
        <v>215</v>
      </c>
      <c r="U109" s="103">
        <v>214</v>
      </c>
      <c r="V109" s="103"/>
      <c r="W109" s="292"/>
      <c r="X109" s="211"/>
      <c r="Y109" s="279">
        <f t="array" ref="Y109">INDEX($L$4:$W$4,MAX(IF($L109:$W109&lt;&gt;"",COLUMN($L109:$W109)-COLUMN($L$9)+1)))</f>
        <v>43101</v>
      </c>
      <c r="Z109" s="266"/>
      <c r="AA109" s="273">
        <v>0</v>
      </c>
      <c r="AB109" s="222">
        <f>M109-L109</f>
        <v>0</v>
      </c>
      <c r="AC109" s="222">
        <f t="shared" si="107"/>
        <v>0</v>
      </c>
      <c r="AD109" s="222">
        <f t="shared" si="107"/>
        <v>28</v>
      </c>
      <c r="AE109" s="222">
        <f t="shared" si="107"/>
        <v>-17</v>
      </c>
      <c r="AF109" s="222">
        <f t="shared" si="107"/>
        <v>6</v>
      </c>
      <c r="AG109" s="222">
        <f t="shared" si="107"/>
        <v>-11</v>
      </c>
      <c r="AH109" s="222">
        <f t="shared" si="107"/>
        <v>-15</v>
      </c>
      <c r="AI109" s="222">
        <f t="shared" si="107"/>
        <v>-20</v>
      </c>
      <c r="AJ109" s="222">
        <f t="shared" si="107"/>
        <v>-1</v>
      </c>
      <c r="AK109" s="222" t="str">
        <f t="shared" si="107"/>
        <v/>
      </c>
      <c r="AL109" s="222" t="str">
        <f t="shared" si="107"/>
        <v/>
      </c>
      <c r="AM109" s="236"/>
      <c r="AN109" s="218"/>
      <c r="AO109" s="218">
        <v>0.5</v>
      </c>
      <c r="AP109" s="218"/>
      <c r="AQ109" s="218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72"/>
      <c r="BB109" s="239"/>
      <c r="BC109" s="236"/>
      <c r="BD109" s="218"/>
      <c r="BE109" s="218"/>
      <c r="BF109" s="221"/>
      <c r="BG109" s="221"/>
      <c r="BH109" s="221"/>
      <c r="BI109" s="221"/>
      <c r="BJ109" s="221"/>
      <c r="BK109" s="221"/>
      <c r="BL109" s="221"/>
      <c r="BM109" s="221"/>
      <c r="BN109" s="221"/>
      <c r="BO109" s="221"/>
    </row>
    <row r="110" spans="1:67" ht="22.2" hidden="1" customHeight="1" x14ac:dyDescent="0.25">
      <c r="A110" s="306" t="s">
        <v>151</v>
      </c>
      <c r="B110" s="103"/>
      <c r="C110" s="187">
        <v>646</v>
      </c>
      <c r="D110" s="181"/>
      <c r="E110" s="340"/>
      <c r="F110" s="101"/>
      <c r="G110" s="254"/>
      <c r="H110" s="103">
        <f t="array" aca="1" ref="H110" ca="1">(OFFSET(L110,0,MAX((L110:W110&lt;&gt;"")*(COLUMN(L110:W110)))-COLUMN(L110)))</f>
        <v>606</v>
      </c>
      <c r="I110" s="101"/>
      <c r="J110" s="324"/>
      <c r="K110" s="181">
        <v>646</v>
      </c>
      <c r="L110" s="191">
        <v>639</v>
      </c>
      <c r="M110" s="103">
        <v>633</v>
      </c>
      <c r="N110" s="371">
        <v>651</v>
      </c>
      <c r="O110" s="103">
        <v>657</v>
      </c>
      <c r="P110" s="103">
        <v>662</v>
      </c>
      <c r="Q110" s="103">
        <v>665</v>
      </c>
      <c r="R110" s="103">
        <v>667</v>
      </c>
      <c r="S110" s="103">
        <v>646</v>
      </c>
      <c r="T110" s="371">
        <v>633</v>
      </c>
      <c r="U110" s="103">
        <v>606</v>
      </c>
      <c r="V110" s="103"/>
      <c r="W110" s="292"/>
      <c r="X110" s="211"/>
      <c r="Y110" s="279">
        <f t="array" ref="Y110">INDEX($L$4:$W$4,MAX(IF($L110:$W110&lt;&gt;"",COLUMN($L110:$W110)-COLUMN($L$9)+1)))</f>
        <v>43101</v>
      </c>
      <c r="Z110" s="266"/>
      <c r="AA110" s="273">
        <v>0</v>
      </c>
      <c r="AB110" s="222">
        <f>M110-L110</f>
        <v>-6</v>
      </c>
      <c r="AC110" s="222">
        <f t="shared" si="107"/>
        <v>18</v>
      </c>
      <c r="AD110" s="222">
        <f t="shared" si="107"/>
        <v>6</v>
      </c>
      <c r="AE110" s="222">
        <f t="shared" si="107"/>
        <v>5</v>
      </c>
      <c r="AF110" s="222">
        <f t="shared" si="107"/>
        <v>3</v>
      </c>
      <c r="AG110" s="222">
        <f t="shared" si="107"/>
        <v>2</v>
      </c>
      <c r="AH110" s="222">
        <f t="shared" si="107"/>
        <v>-21</v>
      </c>
      <c r="AI110" s="222">
        <f t="shared" si="107"/>
        <v>-13</v>
      </c>
      <c r="AJ110" s="409">
        <f t="shared" si="107"/>
        <v>-27</v>
      </c>
      <c r="AK110" s="222" t="str">
        <f t="shared" si="107"/>
        <v/>
      </c>
      <c r="AL110" s="222" t="str">
        <f t="shared" si="107"/>
        <v/>
      </c>
      <c r="AM110" s="17"/>
      <c r="AN110" s="218"/>
      <c r="AO110" s="218">
        <v>-42.5</v>
      </c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34"/>
      <c r="BC110" s="17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</row>
    <row r="111" spans="1:67" ht="7.95" hidden="1" customHeight="1" x14ac:dyDescent="0.25">
      <c r="A111" s="28"/>
      <c r="B111" s="17"/>
      <c r="C111" s="17"/>
      <c r="D111" s="17"/>
      <c r="E111" s="17"/>
      <c r="F111" s="17"/>
      <c r="G111" s="205"/>
      <c r="H111" s="17" t="str">
        <f t="shared" ref="H111" si="108">IF((SUM(L111:W111))=0,"",(SUM(L111:W111)))</f>
        <v/>
      </c>
      <c r="J111" s="24"/>
      <c r="K111" s="18"/>
      <c r="L111" s="17"/>
      <c r="M111" s="17"/>
      <c r="N111" s="236"/>
      <c r="O111" s="17"/>
      <c r="P111" s="17"/>
      <c r="Q111" s="17"/>
      <c r="R111" s="17"/>
      <c r="S111" s="17"/>
      <c r="T111" s="236"/>
      <c r="U111" s="397"/>
      <c r="V111" s="17"/>
      <c r="W111" s="18"/>
      <c r="X111" s="17"/>
      <c r="Y111" s="279"/>
      <c r="Z111" s="266"/>
      <c r="AA111" s="206"/>
      <c r="AB111" s="206"/>
      <c r="AC111" s="241"/>
      <c r="AD111" s="241"/>
      <c r="AE111" s="241"/>
      <c r="AF111" s="241"/>
      <c r="AG111" s="241"/>
      <c r="AH111" s="241"/>
    </row>
    <row r="112" spans="1:67" ht="22.2" hidden="1" customHeight="1" x14ac:dyDescent="0.25">
      <c r="A112" s="381" t="s">
        <v>82</v>
      </c>
      <c r="B112" s="103"/>
      <c r="C112" s="187">
        <v>852</v>
      </c>
      <c r="D112" s="380">
        <v>672</v>
      </c>
      <c r="E112" s="285">
        <v>750</v>
      </c>
      <c r="F112" s="260" t="s">
        <v>121</v>
      </c>
      <c r="G112" s="254"/>
      <c r="H112" s="103">
        <f t="array" aca="1" ref="H112" ca="1">(OFFSET(L112,0,MAX((L112:W112&lt;&gt;"")*(COLUMN(L112:W112)))-COLUMN(L112)))</f>
        <v>661</v>
      </c>
      <c r="I112" s="326"/>
      <c r="J112" s="324"/>
      <c r="K112" s="393">
        <v>852</v>
      </c>
      <c r="L112" s="191">
        <f t="shared" ref="L112" si="109">SUM(L113:L115)</f>
        <v>836</v>
      </c>
      <c r="M112" s="103">
        <f>SUM(M113:M115)</f>
        <v>834</v>
      </c>
      <c r="N112" s="371">
        <v>796</v>
      </c>
      <c r="O112" s="103">
        <v>798</v>
      </c>
      <c r="P112" s="103">
        <v>795</v>
      </c>
      <c r="Q112" s="103">
        <v>772</v>
      </c>
      <c r="R112" s="103">
        <v>737</v>
      </c>
      <c r="S112" s="103">
        <v>692</v>
      </c>
      <c r="T112" s="371">
        <v>657</v>
      </c>
      <c r="U112" s="103">
        <v>661</v>
      </c>
      <c r="V112" s="103"/>
      <c r="W112" s="292"/>
      <c r="X112" s="211"/>
      <c r="Y112" s="279">
        <f t="array" ref="Y112">INDEX($L$4:$W$4,MAX(IF($L112:$W112&lt;&gt;"",COLUMN($L112:$W112)-COLUMN($L$9)+1)))</f>
        <v>43101</v>
      </c>
      <c r="Z112" s="266"/>
      <c r="AA112" s="273">
        <v>0</v>
      </c>
      <c r="AB112" s="222">
        <f>M112-L112</f>
        <v>-2</v>
      </c>
      <c r="AC112" s="222">
        <f t="shared" ref="AC112:AL115" si="110">IF(N112="","",(N112-M112))</f>
        <v>-38</v>
      </c>
      <c r="AD112" s="222">
        <f t="shared" si="110"/>
        <v>2</v>
      </c>
      <c r="AE112" s="222">
        <f t="shared" si="110"/>
        <v>-3</v>
      </c>
      <c r="AF112" s="222">
        <f t="shared" si="110"/>
        <v>-23</v>
      </c>
      <c r="AG112" s="222">
        <f t="shared" si="110"/>
        <v>-35</v>
      </c>
      <c r="AH112" s="222">
        <f t="shared" si="110"/>
        <v>-45</v>
      </c>
      <c r="AI112" s="222">
        <f t="shared" si="110"/>
        <v>-35</v>
      </c>
      <c r="AJ112" s="222">
        <f t="shared" si="110"/>
        <v>4</v>
      </c>
      <c r="AK112" s="222" t="str">
        <f t="shared" si="110"/>
        <v/>
      </c>
      <c r="AL112" s="222" t="str">
        <f t="shared" si="110"/>
        <v/>
      </c>
      <c r="AM112" s="17"/>
      <c r="AN112" s="222">
        <f>HLOOKUP(Y112,staggered,109,FALSE)</f>
        <v>750</v>
      </c>
      <c r="AO112" s="218"/>
      <c r="AP112" s="264">
        <f>((VALUE((RIGHT(E112,5))))/12)*12</f>
        <v>750</v>
      </c>
      <c r="AQ112" s="264">
        <f>((VALUE((RIGHT(E112,5))))/12)*12</f>
        <v>750</v>
      </c>
      <c r="AR112" s="264">
        <f>((VALUE((RIGHT(E112,5))))/12)*12</f>
        <v>750</v>
      </c>
      <c r="AS112" s="264">
        <f>((VALUE((RIGHT(E112,5))))/12)*12</f>
        <v>750</v>
      </c>
      <c r="AT112" s="264">
        <f>((VALUE((RIGHT(E112,5))))/12)*12</f>
        <v>750</v>
      </c>
      <c r="AU112" s="264">
        <f>((VALUE((RIGHT(E112,5))))/12)*12</f>
        <v>750</v>
      </c>
      <c r="AV112" s="264">
        <f>((VALUE((RIGHT(E112,5))))/12)*12</f>
        <v>750</v>
      </c>
      <c r="AW112" s="264">
        <f>((VALUE((RIGHT(E112,5))))/12)*12</f>
        <v>750</v>
      </c>
      <c r="AX112" s="264">
        <f>((VALUE((RIGHT(E112,5))))/12)*12</f>
        <v>750</v>
      </c>
      <c r="AY112" s="264">
        <f>((VALUE((RIGHT(E112,5))))/12)*12</f>
        <v>750</v>
      </c>
      <c r="AZ112" s="264">
        <f>((VALUE((RIGHT(E112,5))))/12)*12</f>
        <v>750</v>
      </c>
      <c r="BA112" s="269">
        <f>((VALUE((RIGHT(E112,5))))/12)*12</f>
        <v>750</v>
      </c>
      <c r="BC112" s="273">
        <f>HLOOKUP(Y112,amber,109,FALSE)</f>
        <v>950</v>
      </c>
      <c r="BD112" s="262">
        <f t="shared" ref="BD112:BO112" si="111">(950/12)*12</f>
        <v>950</v>
      </c>
      <c r="BE112" s="262">
        <f t="shared" si="111"/>
        <v>950</v>
      </c>
      <c r="BF112" s="262">
        <f t="shared" si="111"/>
        <v>950</v>
      </c>
      <c r="BG112" s="262">
        <f t="shared" si="111"/>
        <v>950</v>
      </c>
      <c r="BH112" s="262">
        <f t="shared" si="111"/>
        <v>950</v>
      </c>
      <c r="BI112" s="262">
        <f t="shared" si="111"/>
        <v>950</v>
      </c>
      <c r="BJ112" s="262">
        <f t="shared" si="111"/>
        <v>950</v>
      </c>
      <c r="BK112" s="262">
        <f t="shared" si="111"/>
        <v>950</v>
      </c>
      <c r="BL112" s="262">
        <f t="shared" si="111"/>
        <v>950</v>
      </c>
      <c r="BM112" s="262">
        <f t="shared" si="111"/>
        <v>950</v>
      </c>
      <c r="BN112" s="262">
        <f t="shared" si="111"/>
        <v>950</v>
      </c>
      <c r="BO112" s="262">
        <f t="shared" si="111"/>
        <v>950</v>
      </c>
    </row>
    <row r="113" spans="1:67" ht="22.2" hidden="1" customHeight="1" x14ac:dyDescent="0.25">
      <c r="A113" s="307" t="s">
        <v>162</v>
      </c>
      <c r="B113" s="103"/>
      <c r="C113" s="183">
        <v>198</v>
      </c>
      <c r="D113" s="387">
        <v>238</v>
      </c>
      <c r="E113" s="340"/>
      <c r="F113" s="101"/>
      <c r="G113" s="254"/>
      <c r="H113" s="103">
        <f t="array" aca="1" ref="H113" ca="1">(OFFSET(L113,0,MAX((L113:W113&lt;&gt;"")*(COLUMN(L113:W113)))-COLUMN(L113)))</f>
        <v>89</v>
      </c>
      <c r="I113" s="101"/>
      <c r="J113" s="324"/>
      <c r="K113" s="394">
        <v>198</v>
      </c>
      <c r="L113" s="191">
        <v>183</v>
      </c>
      <c r="M113" s="103">
        <v>162</v>
      </c>
      <c r="N113" s="371">
        <v>119</v>
      </c>
      <c r="O113" s="103">
        <v>139</v>
      </c>
      <c r="P113" s="103">
        <v>142</v>
      </c>
      <c r="Q113" s="103">
        <v>135</v>
      </c>
      <c r="R113" s="103">
        <v>103</v>
      </c>
      <c r="S113" s="103">
        <v>98</v>
      </c>
      <c r="T113" s="371">
        <v>82</v>
      </c>
      <c r="U113" s="103">
        <v>89</v>
      </c>
      <c r="V113" s="103"/>
      <c r="W113" s="292"/>
      <c r="X113" s="211"/>
      <c r="Y113" s="279">
        <f t="array" ref="Y113">INDEX($L$4:$W$4,MAX(IF($L113:$W113&lt;&gt;"",COLUMN($L113:$W113)-COLUMN($L$9)+1)))</f>
        <v>43101</v>
      </c>
      <c r="Z113" s="266"/>
      <c r="AA113" s="273">
        <v>0</v>
      </c>
      <c r="AB113" s="222">
        <f>M113-L113</f>
        <v>-21</v>
      </c>
      <c r="AC113" s="222">
        <f t="shared" si="110"/>
        <v>-43</v>
      </c>
      <c r="AD113" s="222">
        <f t="shared" si="110"/>
        <v>20</v>
      </c>
      <c r="AE113" s="222">
        <f t="shared" si="110"/>
        <v>3</v>
      </c>
      <c r="AF113" s="222">
        <f t="shared" si="110"/>
        <v>-7</v>
      </c>
      <c r="AG113" s="222">
        <f t="shared" si="110"/>
        <v>-32</v>
      </c>
      <c r="AH113" s="222">
        <f t="shared" si="110"/>
        <v>-5</v>
      </c>
      <c r="AI113" s="222">
        <f t="shared" si="110"/>
        <v>-16</v>
      </c>
      <c r="AJ113" s="222">
        <f t="shared" si="110"/>
        <v>7</v>
      </c>
      <c r="AK113" s="222" t="str">
        <f t="shared" si="110"/>
        <v/>
      </c>
      <c r="AL113" s="222" t="str">
        <f t="shared" si="110"/>
        <v/>
      </c>
      <c r="AM113" s="17"/>
      <c r="AN113" s="218"/>
      <c r="AO113" s="218">
        <v>6</v>
      </c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34"/>
      <c r="BC113" s="17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</row>
    <row r="114" spans="1:67" ht="22.2" hidden="1" customHeight="1" x14ac:dyDescent="0.25">
      <c r="A114" s="384" t="s">
        <v>153</v>
      </c>
      <c r="B114" s="103"/>
      <c r="C114" s="183">
        <v>3</v>
      </c>
      <c r="D114" s="181"/>
      <c r="E114" s="340"/>
      <c r="F114" s="101"/>
      <c r="G114" s="254"/>
      <c r="H114" s="103">
        <f t="array" aca="1" ref="H114" ca="1">(OFFSET(L114,0,MAX((L114:W114&lt;&gt;"")*(COLUMN(L114:W114)))-COLUMN(L114)))</f>
        <v>1</v>
      </c>
      <c r="I114" s="101"/>
      <c r="J114" s="324"/>
      <c r="K114" s="366">
        <v>3</v>
      </c>
      <c r="L114" s="191">
        <v>4</v>
      </c>
      <c r="M114" s="103">
        <v>6</v>
      </c>
      <c r="N114" s="371">
        <v>3</v>
      </c>
      <c r="O114" s="103">
        <v>2</v>
      </c>
      <c r="P114" s="103">
        <v>2</v>
      </c>
      <c r="Q114" s="103">
        <v>3</v>
      </c>
      <c r="R114" s="103">
        <v>3</v>
      </c>
      <c r="S114" s="103">
        <v>2</v>
      </c>
      <c r="T114" s="371">
        <v>2</v>
      </c>
      <c r="U114" s="103">
        <v>1</v>
      </c>
      <c r="V114" s="103"/>
      <c r="W114" s="292"/>
      <c r="X114" s="211"/>
      <c r="Y114" s="279">
        <f t="array" ref="Y114">INDEX($L$4:$W$4,MAX(IF($L114:$W114&lt;&gt;"",COLUMN($L114:$W114)-COLUMN($L$9)+1)))</f>
        <v>43101</v>
      </c>
      <c r="Z114" s="266"/>
      <c r="AA114" s="273">
        <v>0</v>
      </c>
      <c r="AB114" s="222">
        <f>M114-L114</f>
        <v>2</v>
      </c>
      <c r="AC114" s="222">
        <f>IF(N114="","",(N114-M114))</f>
        <v>-3</v>
      </c>
      <c r="AD114" s="222">
        <f t="shared" si="110"/>
        <v>-1</v>
      </c>
      <c r="AE114" s="222">
        <f t="shared" si="110"/>
        <v>0</v>
      </c>
      <c r="AF114" s="222">
        <f t="shared" si="110"/>
        <v>1</v>
      </c>
      <c r="AG114" s="222">
        <f t="shared" si="110"/>
        <v>0</v>
      </c>
      <c r="AH114" s="222">
        <f t="shared" si="110"/>
        <v>-1</v>
      </c>
      <c r="AI114" s="222">
        <f t="shared" si="110"/>
        <v>0</v>
      </c>
      <c r="AJ114" s="222">
        <f t="shared" si="110"/>
        <v>-1</v>
      </c>
      <c r="AK114" s="222" t="str">
        <f t="shared" si="110"/>
        <v/>
      </c>
      <c r="AL114" s="222" t="str">
        <f t="shared" si="110"/>
        <v/>
      </c>
      <c r="AM114" s="17"/>
      <c r="AN114" s="218"/>
      <c r="AO114" s="218">
        <v>-0.5</v>
      </c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34"/>
      <c r="BC114" s="17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</row>
    <row r="115" spans="1:67" ht="22.2" hidden="1" customHeight="1" x14ac:dyDescent="0.25">
      <c r="A115" s="384" t="s">
        <v>154</v>
      </c>
      <c r="B115" s="385"/>
      <c r="C115" s="183">
        <v>651</v>
      </c>
      <c r="D115" s="366"/>
      <c r="E115" s="152"/>
      <c r="F115" s="385"/>
      <c r="G115" s="254"/>
      <c r="H115" s="103">
        <f t="array" aca="1" ref="H115" ca="1">(OFFSET(L115,0,MAX((L115:W115&lt;&gt;"")*(COLUMN(L115:W115)))-COLUMN(L115)))</f>
        <v>73</v>
      </c>
      <c r="I115" s="385"/>
      <c r="J115" s="324"/>
      <c r="K115" s="394">
        <v>651</v>
      </c>
      <c r="L115" s="191">
        <v>649</v>
      </c>
      <c r="M115" s="103">
        <v>666</v>
      </c>
      <c r="N115" s="371">
        <v>674</v>
      </c>
      <c r="O115" s="103">
        <v>657</v>
      </c>
      <c r="P115" s="103">
        <v>651</v>
      </c>
      <c r="Q115" s="103">
        <v>634</v>
      </c>
      <c r="R115" s="103">
        <v>631</v>
      </c>
      <c r="S115" s="103">
        <v>592</v>
      </c>
      <c r="T115" s="371">
        <v>573</v>
      </c>
      <c r="U115" s="103">
        <v>571</v>
      </c>
      <c r="V115" s="103"/>
      <c r="W115" s="292">
        <v>73</v>
      </c>
      <c r="X115" s="211"/>
      <c r="Y115" s="279">
        <f t="array" ref="Y115">INDEX($L$4:$W$4,MAX(IF($L115:$W115&lt;&gt;"",COLUMN($L115:$W115)-COLUMN($L$9)+1)))</f>
        <v>43160</v>
      </c>
      <c r="Z115" s="266"/>
      <c r="AA115" s="273">
        <v>0</v>
      </c>
      <c r="AB115" s="222">
        <f>M115-L115</f>
        <v>17</v>
      </c>
      <c r="AC115" s="222">
        <f t="shared" ref="AC115:AE115" si="112">IF(N115="","",(N115-M115))</f>
        <v>8</v>
      </c>
      <c r="AD115" s="222">
        <f t="shared" si="112"/>
        <v>-17</v>
      </c>
      <c r="AE115" s="222">
        <f t="shared" si="112"/>
        <v>-6</v>
      </c>
      <c r="AF115" s="222">
        <f t="shared" si="110"/>
        <v>-17</v>
      </c>
      <c r="AG115" s="222">
        <f t="shared" si="110"/>
        <v>-3</v>
      </c>
      <c r="AH115" s="222">
        <f t="shared" si="110"/>
        <v>-39</v>
      </c>
      <c r="AI115" s="222">
        <f t="shared" si="110"/>
        <v>-19</v>
      </c>
      <c r="AJ115" s="222">
        <f t="shared" si="110"/>
        <v>-2</v>
      </c>
      <c r="AK115" s="222" t="str">
        <f t="shared" si="110"/>
        <v/>
      </c>
      <c r="AL115" s="222">
        <f t="shared" si="110"/>
        <v>73</v>
      </c>
      <c r="AM115" s="17"/>
      <c r="AN115" s="218"/>
      <c r="AO115" s="218">
        <v>18.5</v>
      </c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34"/>
      <c r="BC115" s="17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</row>
    <row r="116" spans="1:67" ht="7.95" hidden="1" customHeight="1" x14ac:dyDescent="0.25">
      <c r="A116" s="28"/>
      <c r="B116" s="17"/>
      <c r="C116" s="17"/>
      <c r="D116" s="17"/>
      <c r="E116" s="17"/>
      <c r="F116" s="17"/>
      <c r="G116" s="205"/>
      <c r="H116" s="17" t="str">
        <f>IF((SUM(L116:WB116))=0,"",(SUM(L116:WB116)))</f>
        <v/>
      </c>
      <c r="J116" s="17"/>
      <c r="K116" s="155"/>
      <c r="L116" s="17"/>
      <c r="M116" s="17"/>
      <c r="N116" s="236"/>
      <c r="O116" s="17"/>
      <c r="P116" s="17"/>
      <c r="Q116" s="17"/>
      <c r="R116" s="17"/>
      <c r="S116" s="17"/>
      <c r="T116" s="17"/>
      <c r="U116" s="17"/>
      <c r="V116" s="17"/>
      <c r="W116" s="155"/>
      <c r="X116" s="217"/>
      <c r="Y116" s="279"/>
      <c r="Z116" s="266"/>
      <c r="AA116" s="206"/>
      <c r="AB116" s="206"/>
      <c r="AC116" s="241"/>
      <c r="AD116" s="241"/>
      <c r="AE116" s="241"/>
      <c r="AF116" s="241"/>
      <c r="AG116" s="241"/>
      <c r="AH116" s="241"/>
    </row>
    <row r="117" spans="1:67" ht="27.6" hidden="1" x14ac:dyDescent="0.25">
      <c r="A117" s="197" t="s">
        <v>86</v>
      </c>
      <c r="B117" s="103"/>
      <c r="C117" s="187">
        <v>68</v>
      </c>
      <c r="D117" s="181">
        <v>230</v>
      </c>
      <c r="E117" s="340"/>
      <c r="F117" s="101"/>
      <c r="G117" s="254"/>
      <c r="H117" s="103">
        <f t="array" aca="1" ref="H117" ca="1">(OFFSET(L117,0,MAX((L117:W117&lt;&gt;"")*(COLUMN(L117:W117)))-COLUMN(L117)))</f>
        <v>32</v>
      </c>
      <c r="I117" s="101"/>
      <c r="J117" s="324"/>
      <c r="K117" s="395">
        <v>68</v>
      </c>
      <c r="L117" s="191">
        <v>66</v>
      </c>
      <c r="M117" s="103">
        <v>66</v>
      </c>
      <c r="N117" s="371">
        <v>44</v>
      </c>
      <c r="O117" s="103">
        <v>35</v>
      </c>
      <c r="P117" s="103">
        <v>38</v>
      </c>
      <c r="Q117" s="103">
        <v>35</v>
      </c>
      <c r="R117" s="103">
        <v>34</v>
      </c>
      <c r="S117" s="103">
        <v>32</v>
      </c>
      <c r="T117" s="371">
        <v>32</v>
      </c>
      <c r="U117" s="103">
        <v>32</v>
      </c>
      <c r="V117" s="103"/>
      <c r="W117" s="292"/>
      <c r="X117" s="211"/>
      <c r="Y117" s="279">
        <f t="array" ref="Y117">INDEX($L$4:$W$4,MAX(IF($L117:$W117&lt;&gt;"",COLUMN($L117:$W117)-COLUMN($L$9)+1)))</f>
        <v>43101</v>
      </c>
      <c r="Z117" s="266"/>
      <c r="AA117" s="273">
        <v>0</v>
      </c>
      <c r="AB117" s="222">
        <f t="shared" ref="AB117:AB126" si="113">M117-L117</f>
        <v>0</v>
      </c>
      <c r="AC117" s="222">
        <f t="shared" ref="AC117:AL126" si="114">IF(N117="","",(N117-M117))</f>
        <v>-22</v>
      </c>
      <c r="AD117" s="222">
        <f t="shared" si="114"/>
        <v>-9</v>
      </c>
      <c r="AE117" s="222">
        <f t="shared" si="114"/>
        <v>3</v>
      </c>
      <c r="AF117" s="222">
        <f t="shared" si="114"/>
        <v>-3</v>
      </c>
      <c r="AG117" s="222">
        <f t="shared" si="114"/>
        <v>-1</v>
      </c>
      <c r="AH117" s="222">
        <f t="shared" si="114"/>
        <v>-2</v>
      </c>
      <c r="AI117" s="222">
        <f t="shared" si="114"/>
        <v>0</v>
      </c>
      <c r="AJ117" s="222">
        <f t="shared" si="114"/>
        <v>0</v>
      </c>
      <c r="AK117" s="222" t="str">
        <f t="shared" si="114"/>
        <v/>
      </c>
      <c r="AL117" s="222" t="str">
        <f t="shared" si="114"/>
        <v/>
      </c>
      <c r="AM117" s="17"/>
      <c r="AN117" s="218"/>
      <c r="AO117" s="218">
        <v>-3</v>
      </c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34"/>
      <c r="BC117" s="17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</row>
    <row r="118" spans="1:67" ht="27.6" hidden="1" x14ac:dyDescent="0.25">
      <c r="A118" s="197" t="s">
        <v>165</v>
      </c>
      <c r="B118" s="103"/>
      <c r="C118" s="187">
        <v>248</v>
      </c>
      <c r="D118" s="181">
        <v>1</v>
      </c>
      <c r="E118" s="340"/>
      <c r="F118" s="101"/>
      <c r="G118" s="254"/>
      <c r="H118" s="103">
        <f t="array" aca="1" ref="H118" ca="1">(OFFSET(L118,0,MAX((L118:W118&lt;&gt;"")*(COLUMN(L118:W118)))-COLUMN(L118)))</f>
        <v>275</v>
      </c>
      <c r="I118" s="101"/>
      <c r="J118" s="324"/>
      <c r="K118" s="396">
        <v>248</v>
      </c>
      <c r="L118" s="191">
        <v>256</v>
      </c>
      <c r="M118" s="103">
        <v>256</v>
      </c>
      <c r="N118" s="371">
        <v>237</v>
      </c>
      <c r="O118" s="103">
        <v>248</v>
      </c>
      <c r="P118" s="103">
        <v>251</v>
      </c>
      <c r="Q118" s="103">
        <v>255</v>
      </c>
      <c r="R118" s="103">
        <v>256</v>
      </c>
      <c r="S118" s="103">
        <v>269</v>
      </c>
      <c r="T118" s="371">
        <v>270</v>
      </c>
      <c r="U118" s="103">
        <v>275</v>
      </c>
      <c r="V118" s="103"/>
      <c r="W118" s="292"/>
      <c r="X118" s="211"/>
      <c r="Y118" s="279">
        <f t="array" ref="Y118">INDEX($L$4:$W$4,MAX(IF($L118:$W118&lt;&gt;"",COLUMN($L118:$W118)-COLUMN($L$9)+1)))</f>
        <v>43101</v>
      </c>
      <c r="Z118" s="266"/>
      <c r="AA118" s="273">
        <v>0</v>
      </c>
      <c r="AB118" s="222">
        <f t="shared" si="113"/>
        <v>0</v>
      </c>
      <c r="AC118" s="222">
        <f t="shared" si="114"/>
        <v>-19</v>
      </c>
      <c r="AD118" s="222">
        <f t="shared" si="114"/>
        <v>11</v>
      </c>
      <c r="AE118" s="222">
        <f t="shared" si="114"/>
        <v>3</v>
      </c>
      <c r="AF118" s="222">
        <f t="shared" si="114"/>
        <v>4</v>
      </c>
      <c r="AG118" s="222">
        <f t="shared" si="114"/>
        <v>1</v>
      </c>
      <c r="AH118" s="222">
        <f t="shared" si="114"/>
        <v>13</v>
      </c>
      <c r="AI118" s="222">
        <f t="shared" si="114"/>
        <v>1</v>
      </c>
      <c r="AJ118" s="222">
        <f t="shared" si="114"/>
        <v>5</v>
      </c>
      <c r="AK118" s="222" t="str">
        <f t="shared" si="114"/>
        <v/>
      </c>
      <c r="AL118" s="222" t="str">
        <f t="shared" si="114"/>
        <v/>
      </c>
      <c r="AM118" s="17"/>
      <c r="AN118" s="218"/>
      <c r="AO118" s="218">
        <v>3.5</v>
      </c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34"/>
      <c r="BC118" s="17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</row>
    <row r="119" spans="1:67" ht="22.2" hidden="1" customHeight="1" x14ac:dyDescent="0.25">
      <c r="A119" s="197" t="s">
        <v>88</v>
      </c>
      <c r="B119" s="103"/>
      <c r="C119" s="187">
        <v>153</v>
      </c>
      <c r="D119" s="181">
        <v>450</v>
      </c>
      <c r="E119" s="340"/>
      <c r="F119" s="101"/>
      <c r="G119" s="254"/>
      <c r="H119" s="103">
        <f t="array" aca="1" ref="H119" ca="1">(OFFSET(L119,0,MAX((L119:W119&lt;&gt;"")*(COLUMN(L119:W119)))-COLUMN(L119)))</f>
        <v>102</v>
      </c>
      <c r="I119" s="101"/>
      <c r="J119" s="324"/>
      <c r="K119" s="395">
        <v>153</v>
      </c>
      <c r="L119" s="191">
        <v>152</v>
      </c>
      <c r="M119" s="103">
        <v>150</v>
      </c>
      <c r="N119" s="371">
        <v>123</v>
      </c>
      <c r="O119" s="103">
        <v>109</v>
      </c>
      <c r="P119" s="103">
        <v>115</v>
      </c>
      <c r="Q119" s="103">
        <v>109</v>
      </c>
      <c r="R119" s="103">
        <v>107</v>
      </c>
      <c r="S119" s="103">
        <v>103</v>
      </c>
      <c r="T119" s="371">
        <v>103</v>
      </c>
      <c r="U119" s="103">
        <v>102</v>
      </c>
      <c r="V119" s="103"/>
      <c r="W119" s="292"/>
      <c r="X119" s="211"/>
      <c r="Y119" s="279">
        <f t="array" ref="Y119">INDEX($L$4:$W$4,MAX(IF($L119:$W119&lt;&gt;"",COLUMN($L119:$W119)-COLUMN($L$9)+1)))</f>
        <v>43101</v>
      </c>
      <c r="Z119" s="266"/>
      <c r="AA119" s="273">
        <v>0</v>
      </c>
      <c r="AB119" s="222">
        <f t="shared" si="113"/>
        <v>-2</v>
      </c>
      <c r="AC119" s="222">
        <f t="shared" si="114"/>
        <v>-27</v>
      </c>
      <c r="AD119" s="222">
        <f t="shared" si="114"/>
        <v>-14</v>
      </c>
      <c r="AE119" s="222">
        <f t="shared" si="114"/>
        <v>6</v>
      </c>
      <c r="AF119" s="222">
        <f t="shared" si="114"/>
        <v>-6</v>
      </c>
      <c r="AG119" s="222">
        <f t="shared" si="114"/>
        <v>-2</v>
      </c>
      <c r="AH119" s="222">
        <f t="shared" si="114"/>
        <v>-4</v>
      </c>
      <c r="AI119" s="222">
        <f t="shared" si="114"/>
        <v>0</v>
      </c>
      <c r="AJ119" s="222">
        <f t="shared" si="114"/>
        <v>-1</v>
      </c>
      <c r="AK119" s="222" t="str">
        <f t="shared" si="114"/>
        <v/>
      </c>
      <c r="AL119" s="222" t="str">
        <f t="shared" si="114"/>
        <v/>
      </c>
      <c r="AM119" s="17"/>
      <c r="AN119" s="218"/>
      <c r="AO119" s="218">
        <v>-2</v>
      </c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34"/>
      <c r="BC119" s="17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</row>
    <row r="120" spans="1:67" ht="22.2" hidden="1" customHeight="1" x14ac:dyDescent="0.25">
      <c r="A120" s="197" t="s">
        <v>89</v>
      </c>
      <c r="B120" s="103"/>
      <c r="C120" s="187"/>
      <c r="D120" s="181"/>
      <c r="E120" s="340"/>
      <c r="F120" s="101"/>
      <c r="G120" s="254"/>
      <c r="H120" s="103" t="e">
        <f t="array" aca="1" ref="H120" ca="1">(OFFSET(L120,0,MAX((L120:W120&lt;&gt;"")*(COLUMN(L120:W120)))-COLUMN(L120)))</f>
        <v>#REF!</v>
      </c>
      <c r="I120" s="101"/>
      <c r="J120" s="324"/>
      <c r="K120" s="395"/>
      <c r="L120" s="191"/>
      <c r="M120" s="103"/>
      <c r="N120" s="371"/>
      <c r="O120" s="103"/>
      <c r="P120" s="103"/>
      <c r="Q120" s="103"/>
      <c r="R120" s="103"/>
      <c r="S120" s="103"/>
      <c r="T120" s="398"/>
      <c r="U120" s="103"/>
      <c r="V120" s="103"/>
      <c r="W120" s="292"/>
      <c r="X120" s="211"/>
      <c r="Y120" s="279">
        <f t="array" ref="Y120">INDEX($L$4:$W$4,MAX(IF($L120:$W120&lt;&gt;"",COLUMN($L120:$W120)-COLUMN($L$9)+1)))</f>
        <v>42826</v>
      </c>
      <c r="Z120" s="266"/>
      <c r="AA120" s="273">
        <v>0</v>
      </c>
      <c r="AB120" s="222">
        <f t="shared" si="113"/>
        <v>0</v>
      </c>
      <c r="AC120" s="222" t="str">
        <f t="shared" si="114"/>
        <v/>
      </c>
      <c r="AD120" s="222" t="str">
        <f t="shared" si="114"/>
        <v/>
      </c>
      <c r="AE120" s="222" t="str">
        <f t="shared" si="114"/>
        <v/>
      </c>
      <c r="AF120" s="222" t="str">
        <f t="shared" si="114"/>
        <v/>
      </c>
      <c r="AG120" s="222" t="str">
        <f t="shared" si="114"/>
        <v/>
      </c>
      <c r="AH120" s="222" t="str">
        <f t="shared" si="114"/>
        <v/>
      </c>
      <c r="AI120" s="222" t="str">
        <f t="shared" si="114"/>
        <v/>
      </c>
      <c r="AJ120" s="222" t="str">
        <f t="shared" si="114"/>
        <v/>
      </c>
      <c r="AK120" s="222" t="str">
        <f t="shared" si="114"/>
        <v/>
      </c>
      <c r="AL120" s="222" t="str">
        <f t="shared" si="114"/>
        <v/>
      </c>
      <c r="AM120" s="17"/>
      <c r="AN120" s="218"/>
      <c r="AO120" s="218">
        <v>0</v>
      </c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34"/>
      <c r="BC120" s="17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</row>
    <row r="121" spans="1:67" ht="22.2" hidden="1" customHeight="1" x14ac:dyDescent="0.25">
      <c r="A121" s="197" t="s">
        <v>90</v>
      </c>
      <c r="B121" s="103"/>
      <c r="C121" s="187">
        <v>3</v>
      </c>
      <c r="D121" s="181"/>
      <c r="E121" s="340"/>
      <c r="F121" s="101"/>
      <c r="G121" s="254"/>
      <c r="H121" s="103">
        <f t="array" aca="1" ref="H121" ca="1">(OFFSET(L121,0,MAX((L121:W121&lt;&gt;"")*(COLUMN(L121:W121)))-COLUMN(L121)))</f>
        <v>2</v>
      </c>
      <c r="I121" s="101"/>
      <c r="J121" s="324"/>
      <c r="K121" s="395">
        <v>3</v>
      </c>
      <c r="L121" s="191">
        <v>2</v>
      </c>
      <c r="M121" s="103">
        <v>1</v>
      </c>
      <c r="N121" s="371">
        <v>0</v>
      </c>
      <c r="O121" s="103">
        <v>1</v>
      </c>
      <c r="P121" s="103">
        <v>1</v>
      </c>
      <c r="Q121" s="103">
        <v>1</v>
      </c>
      <c r="R121" s="103">
        <v>1</v>
      </c>
      <c r="S121" s="103">
        <v>0</v>
      </c>
      <c r="T121" s="371">
        <v>3</v>
      </c>
      <c r="U121" s="103">
        <v>2</v>
      </c>
      <c r="V121" s="103"/>
      <c r="W121" s="292"/>
      <c r="X121" s="211"/>
      <c r="Y121" s="279">
        <f t="array" ref="Y121">INDEX($L$4:$W$4,MAX(IF($L121:$W121&lt;&gt;"",COLUMN($L121:$W121)-COLUMN($L$9)+1)))</f>
        <v>43101</v>
      </c>
      <c r="Z121" s="266"/>
      <c r="AA121" s="273">
        <v>0</v>
      </c>
      <c r="AB121" s="222">
        <f t="shared" si="113"/>
        <v>-1</v>
      </c>
      <c r="AC121" s="222">
        <f t="shared" si="114"/>
        <v>-1</v>
      </c>
      <c r="AD121" s="222">
        <f t="shared" si="114"/>
        <v>1</v>
      </c>
      <c r="AE121" s="222">
        <f t="shared" si="114"/>
        <v>0</v>
      </c>
      <c r="AF121" s="222">
        <f t="shared" si="114"/>
        <v>0</v>
      </c>
      <c r="AG121" s="222">
        <f t="shared" si="114"/>
        <v>0</v>
      </c>
      <c r="AH121" s="222">
        <f t="shared" si="114"/>
        <v>-1</v>
      </c>
      <c r="AI121" s="222">
        <f t="shared" si="114"/>
        <v>3</v>
      </c>
      <c r="AJ121" s="222">
        <f t="shared" si="114"/>
        <v>-1</v>
      </c>
      <c r="AK121" s="222" t="str">
        <f t="shared" si="114"/>
        <v/>
      </c>
      <c r="AL121" s="222" t="str">
        <f t="shared" si="114"/>
        <v/>
      </c>
      <c r="AM121" s="17"/>
      <c r="AN121" s="218"/>
      <c r="AO121" s="218">
        <v>1</v>
      </c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34"/>
      <c r="BC121" s="17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</row>
    <row r="122" spans="1:67" ht="27.6" hidden="1" x14ac:dyDescent="0.25">
      <c r="A122" s="197" t="s">
        <v>91</v>
      </c>
      <c r="B122" s="103"/>
      <c r="C122" s="187">
        <v>110</v>
      </c>
      <c r="D122" s="181">
        <v>87</v>
      </c>
      <c r="E122" s="340"/>
      <c r="F122" s="101"/>
      <c r="G122" s="254"/>
      <c r="H122" s="103">
        <f t="array" aca="1" ref="H122" ca="1">(OFFSET(L122,0,MAX((L122:W122&lt;&gt;"")*(COLUMN(L122:W122)))-COLUMN(L122)))</f>
        <v>28</v>
      </c>
      <c r="I122" s="101"/>
      <c r="J122" s="324"/>
      <c r="K122" s="395">
        <v>110</v>
      </c>
      <c r="L122" s="191">
        <v>113</v>
      </c>
      <c r="M122" s="103">
        <v>111</v>
      </c>
      <c r="N122" s="371">
        <v>113</v>
      </c>
      <c r="O122" s="103">
        <v>112</v>
      </c>
      <c r="P122" s="103">
        <v>119</v>
      </c>
      <c r="Q122" s="103">
        <v>114</v>
      </c>
      <c r="R122" s="103">
        <v>110</v>
      </c>
      <c r="S122" s="103">
        <v>108</v>
      </c>
      <c r="T122" s="371">
        <v>101</v>
      </c>
      <c r="U122" s="103">
        <v>28</v>
      </c>
      <c r="V122" s="103"/>
      <c r="W122" s="292"/>
      <c r="X122" s="211"/>
      <c r="Y122" s="279">
        <f t="array" ref="Y122">INDEX($L$4:$W$4,MAX(IF($L122:$W122&lt;&gt;"",COLUMN($L122:$W122)-COLUMN($L$9)+1)))</f>
        <v>43101</v>
      </c>
      <c r="Z122" s="266"/>
      <c r="AA122" s="273">
        <v>0</v>
      </c>
      <c r="AB122" s="222">
        <f t="shared" si="113"/>
        <v>-2</v>
      </c>
      <c r="AC122" s="222">
        <f t="shared" si="114"/>
        <v>2</v>
      </c>
      <c r="AD122" s="222">
        <f t="shared" si="114"/>
        <v>-1</v>
      </c>
      <c r="AE122" s="222">
        <f t="shared" si="114"/>
        <v>7</v>
      </c>
      <c r="AF122" s="222">
        <f t="shared" si="114"/>
        <v>-5</v>
      </c>
      <c r="AG122" s="222">
        <f t="shared" si="114"/>
        <v>-4</v>
      </c>
      <c r="AH122" s="222">
        <f t="shared" si="114"/>
        <v>-2</v>
      </c>
      <c r="AI122" s="222">
        <f t="shared" si="114"/>
        <v>-7</v>
      </c>
      <c r="AJ122" s="409">
        <f t="shared" si="114"/>
        <v>-73</v>
      </c>
      <c r="AK122" s="222" t="str">
        <f t="shared" si="114"/>
        <v/>
      </c>
      <c r="AL122" s="222" t="str">
        <f t="shared" si="114"/>
        <v/>
      </c>
      <c r="AM122" s="17"/>
      <c r="AN122" s="218"/>
      <c r="AO122" s="218">
        <v>3</v>
      </c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34"/>
      <c r="BC122" s="17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</row>
    <row r="123" spans="1:67" ht="22.2" hidden="1" customHeight="1" x14ac:dyDescent="0.25">
      <c r="A123" s="197" t="s">
        <v>92</v>
      </c>
      <c r="B123" s="103"/>
      <c r="C123" s="187">
        <v>1</v>
      </c>
      <c r="D123" s="181">
        <v>8</v>
      </c>
      <c r="E123" s="340"/>
      <c r="F123" s="101"/>
      <c r="G123" s="254"/>
      <c r="H123" s="103">
        <f t="array" aca="1" ref="H123" ca="1">(OFFSET(L123,0,MAX((L123:W123&lt;&gt;"")*(COLUMN(L123:W123)))-COLUMN(L123)))</f>
        <v>1</v>
      </c>
      <c r="I123" s="101"/>
      <c r="J123" s="324"/>
      <c r="K123" s="395">
        <v>1</v>
      </c>
      <c r="L123" s="191">
        <v>1</v>
      </c>
      <c r="M123" s="103">
        <v>1</v>
      </c>
      <c r="N123" s="371">
        <v>1</v>
      </c>
      <c r="O123" s="103">
        <v>1</v>
      </c>
      <c r="P123" s="103">
        <v>1</v>
      </c>
      <c r="Q123" s="103">
        <v>1</v>
      </c>
      <c r="R123" s="103">
        <v>1</v>
      </c>
      <c r="S123" s="103">
        <v>1</v>
      </c>
      <c r="T123" s="371">
        <v>1</v>
      </c>
      <c r="U123" s="103">
        <v>1</v>
      </c>
      <c r="V123" s="103"/>
      <c r="W123" s="292"/>
      <c r="X123" s="211"/>
      <c r="Y123" s="279">
        <f t="array" ref="Y123">INDEX($L$4:$W$4,MAX(IF($L123:$W123&lt;&gt;"",COLUMN($L123:$W123)-COLUMN($L$9)+1)))</f>
        <v>43101</v>
      </c>
      <c r="Z123" s="266"/>
      <c r="AA123" s="273">
        <v>0</v>
      </c>
      <c r="AB123" s="222">
        <f t="shared" si="113"/>
        <v>0</v>
      </c>
      <c r="AC123" s="222">
        <f t="shared" si="114"/>
        <v>0</v>
      </c>
      <c r="AD123" s="222">
        <f t="shared" si="114"/>
        <v>0</v>
      </c>
      <c r="AE123" s="222">
        <f t="shared" si="114"/>
        <v>0</v>
      </c>
      <c r="AF123" s="222">
        <f t="shared" si="114"/>
        <v>0</v>
      </c>
      <c r="AG123" s="222">
        <f t="shared" si="114"/>
        <v>0</v>
      </c>
      <c r="AH123" s="222">
        <f t="shared" si="114"/>
        <v>0</v>
      </c>
      <c r="AI123" s="222">
        <f t="shared" si="114"/>
        <v>0</v>
      </c>
      <c r="AJ123" s="222">
        <f t="shared" si="114"/>
        <v>0</v>
      </c>
      <c r="AK123" s="222" t="str">
        <f t="shared" si="114"/>
        <v/>
      </c>
      <c r="AL123" s="222" t="str">
        <f t="shared" si="114"/>
        <v/>
      </c>
      <c r="AM123" s="17"/>
      <c r="AN123" s="218"/>
      <c r="AO123" s="218">
        <v>0</v>
      </c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34"/>
      <c r="BC123" s="17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</row>
    <row r="124" spans="1:67" ht="22.2" hidden="1" customHeight="1" x14ac:dyDescent="0.25">
      <c r="A124" s="197" t="s">
        <v>93</v>
      </c>
      <c r="B124" s="103"/>
      <c r="C124" s="187">
        <v>1</v>
      </c>
      <c r="D124" s="181">
        <v>1</v>
      </c>
      <c r="E124" s="340"/>
      <c r="F124" s="101"/>
      <c r="G124" s="254"/>
      <c r="H124" s="103">
        <f t="array" aca="1" ref="H124" ca="1">(OFFSET(L124,0,MAX((L124:W124&lt;&gt;"")*(COLUMN(L124:W124)))-COLUMN(L124)))</f>
        <v>0</v>
      </c>
      <c r="I124" s="101"/>
      <c r="J124" s="324"/>
      <c r="K124" s="395">
        <v>1</v>
      </c>
      <c r="L124" s="191">
        <v>1</v>
      </c>
      <c r="M124" s="103">
        <v>1</v>
      </c>
      <c r="N124" s="371">
        <v>0</v>
      </c>
      <c r="O124" s="103">
        <v>0</v>
      </c>
      <c r="P124" s="103">
        <v>0</v>
      </c>
      <c r="Q124" s="103">
        <v>0</v>
      </c>
      <c r="R124" s="103">
        <v>0</v>
      </c>
      <c r="S124" s="103">
        <v>0</v>
      </c>
      <c r="T124" s="371">
        <v>0</v>
      </c>
      <c r="U124" s="103">
        <v>0</v>
      </c>
      <c r="V124" s="103"/>
      <c r="W124" s="292"/>
      <c r="X124" s="211"/>
      <c r="Y124" s="279">
        <f t="array" ref="Y124">INDEX($L$4:$W$4,MAX(IF($L124:$W124&lt;&gt;"",COLUMN($L124:$W124)-COLUMN($L$9)+1)))</f>
        <v>43101</v>
      </c>
      <c r="Z124" s="266"/>
      <c r="AA124" s="273">
        <v>0</v>
      </c>
      <c r="AB124" s="222">
        <f t="shared" si="113"/>
        <v>0</v>
      </c>
      <c r="AC124" s="222">
        <f t="shared" si="114"/>
        <v>-1</v>
      </c>
      <c r="AD124" s="222">
        <f t="shared" si="114"/>
        <v>0</v>
      </c>
      <c r="AE124" s="222">
        <f t="shared" si="114"/>
        <v>0</v>
      </c>
      <c r="AF124" s="222">
        <f t="shared" si="114"/>
        <v>0</v>
      </c>
      <c r="AG124" s="222">
        <f t="shared" si="114"/>
        <v>0</v>
      </c>
      <c r="AH124" s="222">
        <f t="shared" si="114"/>
        <v>0</v>
      </c>
      <c r="AI124" s="222">
        <f t="shared" si="114"/>
        <v>0</v>
      </c>
      <c r="AJ124" s="222">
        <f t="shared" si="114"/>
        <v>0</v>
      </c>
      <c r="AK124" s="222" t="str">
        <f t="shared" si="114"/>
        <v/>
      </c>
      <c r="AL124" s="222" t="str">
        <f t="shared" si="114"/>
        <v/>
      </c>
      <c r="AM124" s="17"/>
      <c r="AN124" s="218"/>
      <c r="AO124" s="218">
        <v>0</v>
      </c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34"/>
      <c r="BC124" s="17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</row>
    <row r="125" spans="1:67" ht="22.2" hidden="1" customHeight="1" x14ac:dyDescent="0.25">
      <c r="A125" s="197" t="s">
        <v>164</v>
      </c>
      <c r="B125" s="103"/>
      <c r="C125" s="187">
        <v>4</v>
      </c>
      <c r="D125" s="181">
        <v>9</v>
      </c>
      <c r="E125" s="340"/>
      <c r="F125" s="101"/>
      <c r="G125" s="254"/>
      <c r="H125" s="103">
        <f t="array" aca="1" ref="H125" ca="1">(OFFSET(L125,0,MAX((L125:W125&lt;&gt;"")*(COLUMN(L125:W125)))-COLUMN(L125)))</f>
        <v>3</v>
      </c>
      <c r="I125" s="101"/>
      <c r="J125" s="324"/>
      <c r="K125" s="395">
        <v>4</v>
      </c>
      <c r="L125" s="191">
        <v>5</v>
      </c>
      <c r="M125" s="103">
        <v>4</v>
      </c>
      <c r="N125" s="371">
        <v>6</v>
      </c>
      <c r="O125" s="103">
        <v>7</v>
      </c>
      <c r="P125" s="103">
        <v>3</v>
      </c>
      <c r="Q125" s="103">
        <v>3</v>
      </c>
      <c r="R125" s="103">
        <v>3</v>
      </c>
      <c r="S125" s="103">
        <v>3</v>
      </c>
      <c r="T125" s="371">
        <v>3</v>
      </c>
      <c r="U125" s="103">
        <v>3</v>
      </c>
      <c r="V125" s="103"/>
      <c r="W125" s="292"/>
      <c r="X125" s="211"/>
      <c r="Y125" s="279">
        <f t="array" ref="Y125">INDEX($L$4:$W$4,MAX(IF($L125:$W125&lt;&gt;"",COLUMN($L125:$W125)-COLUMN($L$9)+1)))</f>
        <v>43101</v>
      </c>
      <c r="Z125" s="266"/>
      <c r="AA125" s="273">
        <v>0</v>
      </c>
      <c r="AB125" s="222">
        <f t="shared" si="113"/>
        <v>-1</v>
      </c>
      <c r="AC125" s="222">
        <f t="shared" si="114"/>
        <v>2</v>
      </c>
      <c r="AD125" s="222">
        <f t="shared" si="114"/>
        <v>1</v>
      </c>
      <c r="AE125" s="222">
        <f t="shared" si="114"/>
        <v>-4</v>
      </c>
      <c r="AF125" s="222">
        <f t="shared" si="114"/>
        <v>0</v>
      </c>
      <c r="AG125" s="222">
        <f t="shared" si="114"/>
        <v>0</v>
      </c>
      <c r="AH125" s="222">
        <f t="shared" si="114"/>
        <v>0</v>
      </c>
      <c r="AI125" s="222">
        <f t="shared" si="114"/>
        <v>0</v>
      </c>
      <c r="AJ125" s="222">
        <f t="shared" si="114"/>
        <v>0</v>
      </c>
      <c r="AK125" s="222" t="str">
        <f t="shared" si="114"/>
        <v/>
      </c>
      <c r="AL125" s="222" t="str">
        <f t="shared" si="114"/>
        <v/>
      </c>
      <c r="AM125" s="17"/>
      <c r="AN125" s="218"/>
      <c r="AO125" s="218">
        <v>-1.5</v>
      </c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34"/>
      <c r="BC125" s="17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</row>
    <row r="126" spans="1:67" ht="27.75" hidden="1" customHeight="1" thickBot="1" x14ac:dyDescent="0.3">
      <c r="A126" s="337" t="s">
        <v>163</v>
      </c>
      <c r="B126" s="258"/>
      <c r="C126" s="338">
        <v>243</v>
      </c>
      <c r="D126" s="388">
        <v>170</v>
      </c>
      <c r="E126" s="356"/>
      <c r="F126" s="343"/>
      <c r="G126" s="257"/>
      <c r="H126" s="258">
        <f t="array" aca="1" ref="H126" ca="1">(OFFSET(L126,0,MAX((L126:W126&lt;&gt;"")*(COLUMN(L126:W126)))-COLUMN(L126)))</f>
        <v>412</v>
      </c>
      <c r="I126" s="343"/>
      <c r="J126" s="345"/>
      <c r="K126" s="390">
        <v>243</v>
      </c>
      <c r="L126" s="359">
        <v>372</v>
      </c>
      <c r="M126" s="258">
        <v>382</v>
      </c>
      <c r="N126" s="360">
        <v>410</v>
      </c>
      <c r="O126" s="258">
        <v>402</v>
      </c>
      <c r="P126" s="258">
        <v>389</v>
      </c>
      <c r="Q126" s="258">
        <v>390</v>
      </c>
      <c r="R126" s="258">
        <v>388</v>
      </c>
      <c r="S126" s="258">
        <v>395</v>
      </c>
      <c r="T126" s="360">
        <v>407</v>
      </c>
      <c r="U126" s="258">
        <v>412</v>
      </c>
      <c r="V126" s="258"/>
      <c r="W126" s="361"/>
      <c r="X126" s="211"/>
      <c r="Y126" s="279">
        <f t="array" ref="Y126">INDEX($L$4:$W$4,MAX(IF($L126:$W126&lt;&gt;"",COLUMN($L126:$W126)-COLUMN($L$9)+1)))</f>
        <v>43101</v>
      </c>
      <c r="Z126" s="266"/>
      <c r="AA126" s="273">
        <v>0</v>
      </c>
      <c r="AB126" s="222">
        <f t="shared" si="113"/>
        <v>10</v>
      </c>
      <c r="AC126" s="222">
        <f t="shared" si="114"/>
        <v>28</v>
      </c>
      <c r="AD126" s="222">
        <f t="shared" si="114"/>
        <v>-8</v>
      </c>
      <c r="AE126" s="222">
        <f t="shared" si="114"/>
        <v>-13</v>
      </c>
      <c r="AF126" s="222">
        <f t="shared" si="114"/>
        <v>1</v>
      </c>
      <c r="AG126" s="222">
        <f t="shared" si="114"/>
        <v>-2</v>
      </c>
      <c r="AH126" s="222">
        <f t="shared" si="114"/>
        <v>7</v>
      </c>
      <c r="AI126" s="222">
        <f t="shared" si="114"/>
        <v>12</v>
      </c>
      <c r="AJ126" s="222">
        <f t="shared" si="114"/>
        <v>5</v>
      </c>
      <c r="AK126" s="222" t="str">
        <f t="shared" si="114"/>
        <v/>
      </c>
      <c r="AL126" s="222" t="str">
        <f t="shared" si="114"/>
        <v/>
      </c>
      <c r="AM126" s="17"/>
      <c r="AN126" s="218"/>
      <c r="AO126" s="218">
        <v>-65.5</v>
      </c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34"/>
      <c r="BC126" s="17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</row>
    <row r="127" spans="1:67" hidden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L107+L112+L117+L118+L119+L121+L122+L123+L124+L125+L126</f>
        <v>2460</v>
      </c>
      <c r="M127" s="2">
        <f t="shared" ref="M127:N127" si="115">M107+M112+M117+M118+M119+M121+M122+M123+M124+M125+M126</f>
        <v>2455</v>
      </c>
      <c r="N127" s="2">
        <f t="shared" si="115"/>
        <v>2393</v>
      </c>
      <c r="O127" s="2">
        <f>O107+O112+O117+O118+O119+O121+O122+O123+O124+O125+O126</f>
        <v>2382</v>
      </c>
      <c r="P127" s="2">
        <f>P107+P112+P117+P118+P119+P121+P122+P123+P124+P125+P126</f>
        <v>2385</v>
      </c>
      <c r="Q127" s="2">
        <f>Q107+Q112+Q117+Q118+Q119+Q121+Q122+Q123+Q124+Q125+Q126</f>
        <v>2355</v>
      </c>
      <c r="R127" s="2">
        <f>R107+R112+R117+R118+R119+R121+R122+R123+R124+R125+R126</f>
        <v>2315</v>
      </c>
      <c r="S127" s="2">
        <f>S107+S112+S117+S118+S119+S121+S122+S123+S124+S125+S126</f>
        <v>2262</v>
      </c>
      <c r="T127" s="2">
        <f t="shared" ref="T127:W127" si="116">T107+T112+T117+T118+T119+T121+T122+T123+T124+T125+T126</f>
        <v>2221</v>
      </c>
      <c r="U127" s="2">
        <f t="shared" si="116"/>
        <v>2134</v>
      </c>
      <c r="V127" s="2">
        <f t="shared" si="116"/>
        <v>0</v>
      </c>
      <c r="W127" s="2">
        <f t="shared" si="116"/>
        <v>0</v>
      </c>
    </row>
    <row r="128" spans="1:67" hidden="1" x14ac:dyDescent="0.25">
      <c r="A128" s="16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AB128" s="2"/>
    </row>
    <row r="129" spans="1:28" hidden="1" x14ac:dyDescent="0.25">
      <c r="A129" s="16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L127-L101</f>
        <v>0</v>
      </c>
      <c r="M129" s="2">
        <f t="shared" ref="M129:W129" si="117">M127-M101</f>
        <v>0</v>
      </c>
      <c r="N129" s="2">
        <f t="shared" si="117"/>
        <v>0</v>
      </c>
      <c r="O129" s="2">
        <f t="shared" si="117"/>
        <v>0</v>
      </c>
      <c r="P129" s="2">
        <f t="shared" si="117"/>
        <v>0</v>
      </c>
      <c r="Q129" s="2">
        <f t="shared" si="117"/>
        <v>0</v>
      </c>
      <c r="R129" s="2">
        <f t="shared" si="117"/>
        <v>0</v>
      </c>
      <c r="S129" s="2">
        <f t="shared" si="117"/>
        <v>0</v>
      </c>
      <c r="T129" s="61">
        <f t="shared" si="117"/>
        <v>0</v>
      </c>
      <c r="U129" s="2">
        <f t="shared" si="117"/>
        <v>0</v>
      </c>
      <c r="V129" s="2" t="e">
        <f t="shared" si="117"/>
        <v>#VALUE!</v>
      </c>
      <c r="W129" s="2" t="e">
        <f t="shared" si="117"/>
        <v>#VALUE!</v>
      </c>
      <c r="AB129" s="2"/>
    </row>
    <row r="130" spans="1:28" ht="12.75" hidden="1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AB130" s="2"/>
    </row>
    <row r="131" spans="1:28" ht="12.75" hidden="1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AB131" s="2"/>
    </row>
    <row r="132" spans="1:28" ht="37.65" hidden="1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99" t="str">
        <f>IF(L101=L127,"MATCH","NO MATCH")</f>
        <v>MATCH</v>
      </c>
      <c r="M132" s="399" t="str">
        <f t="shared" ref="M132:N132" si="118">IF(M101=M127,"MATCH","NO MATCH")</f>
        <v>MATCH</v>
      </c>
      <c r="N132" s="399" t="str">
        <f t="shared" si="118"/>
        <v>MATCH</v>
      </c>
      <c r="O132" s="399" t="str">
        <f>IF(O101=O127,"MATCH","NO MATCH")</f>
        <v>MATCH</v>
      </c>
      <c r="P132" s="399" t="str">
        <f>IF(P101=P127,"MATCH","NO MATCH")</f>
        <v>MATCH</v>
      </c>
      <c r="Q132" s="399" t="str">
        <f>IF(Q101=Q127,"MATCH","NO MATCH")</f>
        <v>MATCH</v>
      </c>
      <c r="R132" s="399" t="str">
        <f>IF(R101=R127,"MATCH","NO MATCH")</f>
        <v>MATCH</v>
      </c>
      <c r="S132" s="399" t="str">
        <f>IF(S101=S127,"MATCH","NO MATCH")</f>
        <v>MATCH</v>
      </c>
      <c r="T132" s="399" t="str">
        <f t="shared" ref="T132:W132" si="119">IF(T101=T127,"MATCH","NO MATCH")</f>
        <v>MATCH</v>
      </c>
      <c r="U132" s="399" t="str">
        <f t="shared" si="119"/>
        <v>MATCH</v>
      </c>
      <c r="V132" s="399" t="str">
        <f t="shared" si="119"/>
        <v>NO MATCH</v>
      </c>
      <c r="W132" s="399" t="str">
        <f t="shared" si="119"/>
        <v>NO MATCH</v>
      </c>
      <c r="AB132" s="2"/>
    </row>
    <row r="133" spans="1:28" ht="12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AB133" s="2"/>
    </row>
    <row r="134" spans="1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AB134" s="2"/>
    </row>
    <row r="135" spans="1:2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AB135" s="2"/>
    </row>
    <row r="136" spans="1:2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AB136" s="2"/>
    </row>
    <row r="137" spans="1:28" ht="3.6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AB137" s="2"/>
    </row>
    <row r="138" spans="1:28" hidden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AB138" s="2"/>
    </row>
    <row r="139" spans="1:28" hidden="1" x14ac:dyDescent="0.25">
      <c r="A139" s="16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AB139" s="2"/>
    </row>
    <row r="140" spans="1:28" hidden="1" x14ac:dyDescent="0.25">
      <c r="A140" s="295" t="s">
        <v>133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AB140" s="2"/>
    </row>
    <row r="141" spans="1:28" ht="13.5" hidden="1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AB141" s="2"/>
    </row>
    <row r="142" spans="1:28" hidden="1" x14ac:dyDescent="0.25">
      <c r="A142" s="2" t="s">
        <v>143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AB142" s="2"/>
    </row>
    <row r="143" spans="1:28" hidden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AB143" s="2"/>
    </row>
    <row r="144" spans="1:2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AB144" s="2"/>
    </row>
    <row r="145" spans="2:2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AB145" s="2"/>
    </row>
    <row r="146" spans="2:2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AB146" s="2"/>
    </row>
    <row r="147" spans="2:2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AB147" s="2"/>
    </row>
    <row r="148" spans="2:2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AB148" s="2"/>
    </row>
    <row r="149" spans="2:2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AB149" s="2"/>
    </row>
    <row r="150" spans="2:2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AB150" s="2"/>
    </row>
    <row r="151" spans="2:2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AB151" s="2"/>
    </row>
    <row r="152" spans="2:2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AB152" s="2"/>
    </row>
    <row r="153" spans="2:2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AB153" s="2"/>
    </row>
    <row r="154" spans="2:2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AB154" s="2"/>
    </row>
    <row r="155" spans="2:2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AB155" s="2"/>
    </row>
    <row r="156" spans="2:2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AB156" s="2"/>
    </row>
    <row r="157" spans="2:2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AB157" s="2"/>
    </row>
    <row r="158" spans="2:2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AB158" s="2"/>
    </row>
    <row r="159" spans="2:2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AB159" s="2"/>
    </row>
    <row r="160" spans="2:2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AB160" s="2"/>
    </row>
    <row r="161" spans="2:12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5">
      <c r="E210" s="17"/>
      <c r="F210" s="17"/>
      <c r="G210" s="2"/>
      <c r="H210" s="2"/>
      <c r="I210" s="2"/>
      <c r="J210" s="2"/>
      <c r="K210" s="2"/>
    </row>
    <row r="211" spans="2:12" x14ac:dyDescent="0.25">
      <c r="E211" s="17"/>
      <c r="F211" s="17"/>
      <c r="G211" s="2"/>
      <c r="H211" s="2"/>
      <c r="I211" s="2"/>
      <c r="J211" s="2"/>
      <c r="K211" s="2"/>
    </row>
  </sheetData>
  <autoFilter ref="A5:BO58"/>
  <mergeCells count="67">
    <mergeCell ref="BK4:BK5"/>
    <mergeCell ref="BL4:BL5"/>
    <mergeCell ref="BM4:BM5"/>
    <mergeCell ref="BN4:BN5"/>
    <mergeCell ref="BO4:BO5"/>
    <mergeCell ref="BJ4:BJ5"/>
    <mergeCell ref="AX4:AX5"/>
    <mergeCell ref="AY4:AY5"/>
    <mergeCell ref="AZ4:AZ5"/>
    <mergeCell ref="BA4:BA5"/>
    <mergeCell ref="BC4:BC5"/>
    <mergeCell ref="BD4:BD5"/>
    <mergeCell ref="BE4:BE5"/>
    <mergeCell ref="BF4:BF5"/>
    <mergeCell ref="BG4:BG5"/>
    <mergeCell ref="BH4:BH5"/>
    <mergeCell ref="BI4:BI5"/>
    <mergeCell ref="AI4:AI5"/>
    <mergeCell ref="AW4:AW5"/>
    <mergeCell ref="AK4:AK5"/>
    <mergeCell ref="AL4:AL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D4:AD5"/>
    <mergeCell ref="AE4:AE5"/>
    <mergeCell ref="AF4:AF5"/>
    <mergeCell ref="AG4:AG5"/>
    <mergeCell ref="AH4:AH5"/>
    <mergeCell ref="BD3:BO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N3:BA3"/>
    <mergeCell ref="P4:P5"/>
    <mergeCell ref="Q4:Q5"/>
    <mergeCell ref="R4:R5"/>
    <mergeCell ref="S4:S5"/>
    <mergeCell ref="T4:T5"/>
    <mergeCell ref="A3:A5"/>
    <mergeCell ref="B3:D3"/>
    <mergeCell ref="E3:J3"/>
    <mergeCell ref="L3:W3"/>
    <mergeCell ref="AA3:AL3"/>
    <mergeCell ref="L4:L5"/>
    <mergeCell ref="M4:M5"/>
    <mergeCell ref="N4:N5"/>
    <mergeCell ref="O4:O5"/>
    <mergeCell ref="U4:U5"/>
    <mergeCell ref="AJ4:AJ5"/>
    <mergeCell ref="V4:V5"/>
    <mergeCell ref="W4:W5"/>
    <mergeCell ref="AA4:AA5"/>
    <mergeCell ref="AB4:AB5"/>
    <mergeCell ref="AC4:AC5"/>
  </mergeCells>
  <conditionalFormatting sqref="I9:I126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25" right="0.25" top="0.75" bottom="0.75" header="0.3" footer="0.3"/>
  <pageSetup paperSize="9" scale="77" fitToHeight="0" orientation="landscape" r:id="rId1"/>
  <headerFooter alignWithMargins="0">
    <oddFooter>&amp;C&amp;P</oddFooter>
  </headerFooter>
  <rowBreaks count="3" manualBreakCount="3">
    <brk id="31" max="22" man="1"/>
    <brk id="54" max="22" man="1"/>
    <brk id="85" max="22" man="1"/>
  </rowBreaks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5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(2)'!AA40:AL40</xm:f>
              <xm:sqref>J40</xm:sqref>
            </x14:sparkline>
          </x14:sparklines>
        </x14:sparklineGroup>
        <x14:sparklineGroup manualMax="1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(2)'!AA34:AL34</xm:f>
              <xm:sqref>J34</xm:sqref>
            </x14:sparkline>
          </x14:sparklines>
        </x14:sparklineGroup>
        <x14:sparklineGroup manualMax="200" type="column" low="1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(2)'!L117:W117</xm:f>
              <xm:sqref>J117</xm:sqref>
            </x14:sparkline>
          </x14:sparklines>
        </x14:sparklineGroup>
        <x14:sparklineGroup manualMax="5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(2)'!AA39:AL39</xm:f>
              <xm:sqref>J39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(2)'!L84:W84</xm:f>
              <xm:sqref>J84</xm:sqref>
            </x14:sparkline>
          </x14:sparklines>
        </x14:sparklineGroup>
        <x14:sparklineGroup manualMax="2500" manualMin="2300" type="column" low="1" minAxisType="custom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(2)'!L101:W101</xm:f>
              <xm:sqref>J101</xm:sqref>
            </x14:sparkline>
          </x14:sparklines>
        </x14:sparklineGroup>
        <x14:sparklineGroup manualMax="25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(2)'!L122:W122</xm:f>
              <xm:sqref>J122</xm:sqref>
            </x14:sparkline>
          </x14:sparklines>
        </x14:sparklineGroup>
        <x14:sparklineGroup manualMax="1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(2)'!L121:W121</xm:f>
              <xm:sqref>J121</xm:sqref>
            </x14:sparkline>
          </x14:sparklines>
        </x14:sparklineGroup>
        <x14:sparklineGroup manualMax="1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(2)'!L114:W114</xm:f>
              <xm:sqref>J114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(2)'!L113:W113</xm:f>
              <xm:sqref>J113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(2)'!L112:W112</xm:f>
              <xm:sqref>J112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(2)'!L115:W115</xm:f>
              <xm:sqref>J115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(2)'!L107:W107</xm:f>
              <xm:sqref>J107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(2)'!L110:W110</xm:f>
              <xm:sqref>J110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(2)'!L123:W123</xm:f>
              <xm:sqref>J123</xm:sqref>
            </x14:sparkline>
            <x14:sparkline>
              <xm:f>'S&amp;D January 2018 (2)'!L124:W124</xm:f>
              <xm:sqref>J124</xm:sqref>
            </x14:sparkline>
            <x14:sparkline>
              <xm:f>'S&amp;D January 2018 (2)'!L125:W125</xm:f>
              <xm:sqref>J125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(2)'!L79:W79</xm:f>
              <xm:sqref>J79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(2)'!L78:W78</xm:f>
              <xm:sqref>J78</xm:sqref>
            </x14:sparkline>
          </x14:sparklines>
        </x14:sparklineGroup>
        <x14:sparklineGroup manualMax="55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(2)'!L126:W126</xm:f>
              <xm:sqref>J126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(2)'!L109:W109</xm:f>
              <xm:sqref>J109</xm:sqref>
            </x14:sparkline>
          </x14:sparklines>
        </x14:sparklineGroup>
        <x14:sparklineGroup manualMax="50" manualMin="0" type="column" low="1" minAxisType="custom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(2)'!AA82:AL82</xm:f>
              <xm:sqref>J82</xm:sqref>
            </x14:sparkline>
            <x14:sparkline>
              <xm:f>'S&amp;D January 2018 (2)'!AA81:AL81</xm:f>
              <xm:sqref>J81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(2)'!AA76:AL76</xm:f>
              <xm:sqref>J76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(2)'!AA73:AL73</xm:f>
              <xm:sqref>J73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(2)'!AA67:AL67</xm:f>
              <xm:sqref>J67</xm:sqref>
            </x14:sparkline>
            <x14:sparkline>
              <xm:f>'S&amp;D January 2018 (2)'!AA68:AL68</xm:f>
              <xm:sqref>J68</xm:sqref>
            </x14:sparkline>
            <x14:sparkline>
              <xm:f>'S&amp;D January 2018 (2)'!AA69:AL69</xm:f>
              <xm:sqref>J69</xm:sqref>
            </x14:sparkline>
          </x14:sparklines>
        </x14:sparklineGroup>
        <x14:sparklineGroup manualMax="1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(2)'!AA50:AL50</xm:f>
              <xm:sqref>J50</xm:sqref>
            </x14:sparkline>
            <x14:sparkline>
              <xm:f>'S&amp;D January 2018 (2)'!AA51:AL51</xm:f>
              <xm:sqref>J51</xm:sqref>
            </x14:sparkline>
            <x14:sparkline>
              <xm:f>'S&amp;D January 2018 (2)'!AA52:AL52</xm:f>
              <xm:sqref>J52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(2)'!L56:W56</xm:f>
              <xm:sqref>J56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(2)'!AA58:AL58</xm:f>
              <xm:sqref>J58</xm:sqref>
            </x14:sparkline>
            <x14:sparkline>
              <xm:f>'S&amp;D January 2018 (2)'!L59:W59</xm:f>
              <xm:sqref>J59</xm:sqref>
            </x14:sparkline>
            <x14:sparkline>
              <xm:f>'S&amp;D January 2018 (2)'!AA60:AL60</xm:f>
              <xm:sqref>J60</xm:sqref>
            </x14:sparkline>
          </x14:sparklines>
        </x14:sparklineGroup>
        <x14:sparklineGroup manualMax="60" type="column" low="1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(2)'!AA19:AL19</xm:f>
              <xm:sqref>J19</xm:sqref>
            </x14:sparkline>
            <x14:sparkline>
              <xm:f>'S&amp;D January 2018 (2)'!AA20:AL20</xm:f>
              <xm:sqref>J20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(2)'!AA54:AL54</xm:f>
              <xm:sqref>J54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(2)'!AA10:AL10</xm:f>
              <xm:sqref>J10</xm:sqref>
            </x14:sparkline>
            <x14:sparkline>
              <xm:f>'S&amp;D January 2018 (2)'!AA11:AL11</xm:f>
              <xm:sqref>J11</xm:sqref>
            </x14:sparkline>
            <x14:sparkline>
              <xm:f>'S&amp;D January 2018 (2)'!AA12:AL12</xm:f>
              <xm:sqref>J12</xm:sqref>
            </x14:sparkline>
            <x14:sparkline>
              <xm:f>'S&amp;D January 2018 (2)'!AA13:AL13</xm:f>
              <xm:sqref>J13</xm:sqref>
            </x14:sparkline>
            <x14:sparkline>
              <xm:f>'S&amp;D January 2018 (2)'!AA14:AL14</xm:f>
              <xm:sqref>J14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(2)'!AA9:AL9</xm:f>
              <xm:sqref>J9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(2)'!AA75:AL75</xm:f>
              <xm:sqref>J75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(2)'!AA62:AL62</xm:f>
              <xm:sqref>J62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(2)'!AA36:AL36</xm:f>
              <xm:sqref>J36</xm:sqref>
            </x14:sparkline>
            <x14:sparkline>
              <xm:f>'S&amp;D January 2018 (2)'!AA35:AL35</xm:f>
              <xm:sqref>J35</xm:sqref>
            </x14:sparkline>
          </x14:sparklines>
        </x14:sparklineGroup>
        <x14:sparklineGroup manualMax="4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(2)'!L118:W118</xm:f>
              <xm:sqref>J118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(2)'!AA42:AL42</xm:f>
              <xm:sqref>J42</xm:sqref>
            </x14:sparkline>
          </x14:sparklines>
        </x14:sparklineGroup>
        <x14:sparklineGroup manualMax="50" manualMin="20" type="column" low="1" minAxisType="custom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(2)'!L24:W24</xm:f>
              <xm:sqref>J24</xm:sqref>
            </x14:sparkline>
          </x14:sparklines>
        </x14:sparklineGroup>
        <x14:sparklineGroup manualMax="5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(2)'!AA41:AL41</xm:f>
              <xm:sqref>J41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(2)'!AA25:AL25</xm:f>
              <xm:sqref>J25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(2)'!AA48:AL48</xm:f>
              <xm:sqref>J48</xm:sqref>
            </x14:sparkline>
            <x14:sparkline>
              <xm:f>'S&amp;D January 2018 (2)'!AA47:AL47</xm:f>
              <xm:sqref>J47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(2)'!L22:W22</xm:f>
              <xm:sqref>J22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(2)'!L21:W21</xm:f>
              <xm:sqref>J21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(2)'!L16:W16</xm:f>
              <xm:sqref>J16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(2)'!L18:W18</xm:f>
              <xm:sqref>J18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(2)'!L23:W23</xm:f>
              <xm:sqref>J23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(2)'!L15:W15</xm:f>
              <xm:sqref>J15</xm:sqref>
            </x14:sparkline>
          </x14:sparklines>
        </x14:sparklineGroup>
        <x14:sparklineGroup manualMax="1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(2)'!AA27:AL27</xm:f>
              <xm:sqref>J27</xm:sqref>
            </x14:sparkline>
          </x14:sparklines>
        </x14:sparklineGroup>
        <x14:sparklineGroup manualMax="1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(2)'!AA28:AL28</xm:f>
              <xm:sqref>J28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(2)'!L30:W30</xm:f>
              <xm:sqref>J30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(2)'!L26:W26</xm:f>
              <xm:sqref>J26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(2)'!L33:W33</xm:f>
              <xm:sqref>J33</xm:sqref>
            </x14:sparkline>
          </x14:sparklines>
        </x14:sparklineGroup>
        <x14:sparklineGroup manualMax="1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(2)'!AA45:AL45</xm:f>
              <xm:sqref>J45</xm:sqref>
            </x14:sparkline>
            <x14:sparkline>
              <xm:f>'S&amp;D January 2018 (2)'!AA46:AL46</xm:f>
              <xm:sqref>J46</xm:sqref>
            </x14:sparkline>
          </x14:sparklines>
        </x14:sparklineGroup>
        <x14:sparklineGroup manualMax="20" type="column" displayEmptyCellsAs="gap" minAxisType="group" max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'S&amp;D January 2018 (2)'!AA71:AL71</xm:f>
              <xm:sqref>J71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(2)'!L32:W32</xm:f>
              <xm:sqref>J32</xm:sqref>
            </x14:sparkline>
            <x14:sparkline>
              <xm:f>'S&amp;D January 2018 (2)'!L37:W37</xm:f>
              <xm:sqref>J37</xm:sqref>
            </x14:sparkline>
            <x14:sparkline>
              <xm:f>'S&amp;D January 2018 (2)'!L38:W38</xm:f>
              <xm:sqref>J38</xm:sqref>
            </x14:sparkline>
            <x14:sparkline>
              <xm:f>'S&amp;D January 2018 (2)'!L43:W43</xm:f>
              <xm:sqref>J43</xm:sqref>
            </x14:sparkline>
            <x14:sparkline>
              <xm:f>'S&amp;D January 2018 (2)'!L44:W44</xm:f>
              <xm:sqref>J44</xm:sqref>
            </x14:sparkline>
            <x14:sparkline>
              <xm:f>'S&amp;D January 2018 (2)'!L49:W49</xm:f>
              <xm:sqref>J49</xm:sqref>
            </x14:sparkline>
            <x14:sparkline>
              <xm:f>'S&amp;D January 2018 (2)'!L53:W53</xm:f>
              <xm:sqref>J53</xm:sqref>
            </x14:sparkline>
            <x14:sparkline>
              <xm:f>'S&amp;D January 2018 (2)'!L55:W55</xm:f>
              <xm:sqref>J55</xm:sqref>
            </x14:sparkline>
            <x14:sparkline>
              <xm:f>'S&amp;D January 2018 (2)'!L61:W61</xm:f>
              <xm:sqref>J61</xm:sqref>
            </x14:sparkline>
            <x14:sparkline>
              <xm:f>'S&amp;D January 2018 (2)'!L63:W63</xm:f>
              <xm:sqref>J63</xm:sqref>
            </x14:sparkline>
            <x14:sparkline>
              <xm:f>'S&amp;D January 2018 (2)'!L64:W64</xm:f>
              <xm:sqref>J64</xm:sqref>
            </x14:sparkline>
            <x14:sparkline>
              <xm:f>'S&amp;D January 2018 (2)'!L65:W65</xm:f>
              <xm:sqref>J65</xm:sqref>
            </x14:sparkline>
            <x14:sparkline>
              <xm:f>'S&amp;D January 2018 (2)'!L66:W66</xm:f>
              <xm:sqref>J66</xm:sqref>
            </x14:sparkline>
            <x14:sparkline>
              <xm:f>'S&amp;D January 2018 (2)'!L70:W70</xm:f>
              <xm:sqref>J70</xm:sqref>
            </x14:sparkline>
            <x14:sparkline>
              <xm:f>'S&amp;D January 2018 (2)'!L72:W72</xm:f>
              <xm:sqref>J72</xm:sqref>
            </x14:sparkline>
            <x14:sparkline>
              <xm:f>'S&amp;D January 2018 (2)'!L74:W74</xm:f>
              <xm:sqref>J74</xm:sqref>
            </x14:sparkline>
            <x14:sparkline>
              <xm:f>'S&amp;D January 2018 (2)'!L77:W77</xm:f>
              <xm:sqref>J77</xm:sqref>
            </x14:sparkline>
            <x14:sparkline>
              <xm:f>'S&amp;D January 2018 (2)'!L83:W83</xm:f>
              <xm:sqref>J83</xm:sqref>
            </x14:sparkline>
            <x14:sparkline>
              <xm:f>'S&amp;D January 2018 (2)'!L86:W86</xm:f>
              <xm:sqref>J86</xm:sqref>
            </x14:sparkline>
            <x14:sparkline>
              <xm:f>'S&amp;D January 2018 (2)'!L87:W87</xm:f>
              <xm:sqref>J87</xm:sqref>
            </x14:sparkline>
            <x14:sparkline>
              <xm:f>'S&amp;D January 2018 (2)'!L88:W88</xm:f>
              <xm:sqref>J88</xm:sqref>
            </x14:sparkline>
            <x14:sparkline>
              <xm:f>'S&amp;D January 2018 (2)'!L89:W89</xm:f>
              <xm:sqref>J89</xm:sqref>
            </x14:sparkline>
            <x14:sparkline>
              <xm:f>'S&amp;D January 2018 (2)'!L90:W90</xm:f>
              <xm:sqref>J90</xm:sqref>
            </x14:sparkline>
            <x14:sparkline>
              <xm:f>'S&amp;D January 2018 (2)'!L91:W91</xm:f>
              <xm:sqref>J91</xm:sqref>
            </x14:sparkline>
            <x14:sparkline>
              <xm:f>'S&amp;D January 2018 (2)'!L92:W92</xm:f>
              <xm:sqref>J92</xm:sqref>
            </x14:sparkline>
            <x14:sparkline>
              <xm:f>'S&amp;D January 2018 (2)'!L93:W93</xm:f>
              <xm:sqref>J93</xm:sqref>
            </x14:sparkline>
            <x14:sparkline>
              <xm:f>'S&amp;D January 2018 (2)'!L94:W94</xm:f>
              <xm:sqref>J94</xm:sqref>
            </x14:sparkline>
            <x14:sparkline>
              <xm:f>'S&amp;D January 2018 (2)'!L95:W95</xm:f>
              <xm:sqref>J95</xm:sqref>
            </x14:sparkline>
            <x14:sparkline>
              <xm:f>'S&amp;D January 2018 (2)'!L96:W96</xm:f>
              <xm:sqref>J96</xm:sqref>
            </x14:sparkline>
            <x14:sparkline>
              <xm:f>'S&amp;D January 2018 (2)'!L97:W97</xm:f>
              <xm:sqref>J97</xm:sqref>
            </x14:sparkline>
            <x14:sparkline>
              <xm:f>'S&amp;D January 2018 (2)'!L98:W98</xm:f>
              <xm:sqref>J98</xm:sqref>
            </x14:sparkline>
            <x14:sparkline>
              <xm:f>'S&amp;D January 2018 (2)'!L99:W99</xm:f>
              <xm:sqref>J99</xm:sqref>
            </x14:sparkline>
            <x14:sparkline>
              <xm:f>'S&amp;D January 2018 (2)'!L100:W100</xm:f>
              <xm:sqref>J100</xm:sqref>
            </x14:sparkline>
            <x14:sparkline>
              <xm:f>'S&amp;D January 2018 (2)'!L105:W105</xm:f>
              <xm:sqref>J105</xm:sqref>
            </x14:sparkline>
            <x14:sparkline>
              <xm:f>'S&amp;D January 2018 (2)'!L106:W106</xm:f>
              <xm:sqref>J106</xm:sqref>
            </x14:sparkline>
            <x14:sparkline>
              <xm:f>'S&amp;D January 2018 (2)'!L108:W108</xm:f>
              <xm:sqref>J108</xm:sqref>
            </x14:sparkline>
            <x14:sparkline>
              <xm:f>'S&amp;D January 2018 (2)'!L111:W111</xm:f>
              <xm:sqref>J111</xm:sqref>
            </x14:sparkline>
            <x14:sparkline>
              <xm:f>'S&amp;D January 2018 (2)'!L116:W116</xm:f>
              <xm:sqref>J116</xm:sqref>
            </x14:sparkline>
            <x14:sparkline>
              <xm:f>'S&amp;D January 2018 (2)'!L8:W8</xm:f>
              <xm:sqref>J8</xm:sqref>
            </x14:sparkline>
            <x14:sparkline>
              <xm:f>'S&amp;D January 2018 (2)'!L120:W120</xm:f>
              <xm:sqref>J120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(2)'!AA29:AL29</xm:f>
              <xm:sqref>J29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(2)'!AA31:AL31</xm:f>
              <xm:sqref>J31</xm:sqref>
            </x14:sparkline>
          </x14:sparklines>
        </x14:sparklineGroup>
        <x14:sparklineGroup type="column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(2)'!AA80:AL80</xm:f>
              <xm:sqref>J80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(2)'!L102:W102</xm:f>
              <xm:sqref>J102</xm:sqref>
            </x14:sparkline>
          </x14:sparklines>
        </x14:sparklineGroup>
        <x14:sparklineGroup manualMax="5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(2)'!AA17:AL17</xm:f>
              <xm:sqref>J17</xm:sqref>
            </x14:sparkline>
          </x14:sparklines>
        </x14:sparklineGroup>
        <x14:sparklineGroup manualMax="65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(2)'!AA85:AL85</xm:f>
              <xm:sqref>J85</xm:sqref>
            </x14:sparkline>
          </x14:sparklines>
        </x14:sparklineGroup>
        <x14:sparklineGroup type="column" low="1" minAxisType="group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(2)'!L119:W119</xm:f>
              <xm:sqref>J119</xm:sqref>
            </x14:sparkline>
          </x14:sparklines>
        </x14:sparklineGroup>
        <x14:sparklineGroup manualMax="2300" manualMin="2100" type="column" low="1" minAxisType="custom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(2)'!L103:W103</xm:f>
              <xm:sqref>J103</xm:sqref>
            </x14:sparkline>
          </x14:sparklines>
        </x14:sparklineGroup>
        <x14:sparklineGroup manualMax="30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(2)'!L104:W104</xm:f>
              <xm:sqref>J104</xm:sqref>
            </x14:sparkline>
          </x14:sparklines>
        </x14:sparklineGroup>
        <x14:sparklineGroup manualMax="50" type="column" low="1" minAxisType="group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'S&amp;D January 2018 (2)'!AA57:AL57</xm:f>
              <xm:sqref>J57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9"/>
  <sheetViews>
    <sheetView workbookViewId="0">
      <selection activeCell="G7" sqref="G7"/>
    </sheetView>
  </sheetViews>
  <sheetFormatPr defaultRowHeight="13.2" x14ac:dyDescent="0.25"/>
  <cols>
    <col min="1" max="1" width="37.5546875" customWidth="1"/>
    <col min="2" max="2" width="10.44140625" style="192" customWidth="1"/>
    <col min="3" max="4" width="10.109375" customWidth="1"/>
    <col min="5" max="5" width="14.5546875" customWidth="1"/>
    <col min="6" max="6" width="17.33203125" customWidth="1"/>
    <col min="7" max="7" width="18.88671875" customWidth="1"/>
  </cols>
  <sheetData>
    <row r="1" spans="1:7" ht="14.25" customHeight="1" x14ac:dyDescent="0.25">
      <c r="A1" s="471" t="s">
        <v>142</v>
      </c>
      <c r="B1" s="471"/>
      <c r="C1" s="471"/>
      <c r="D1" s="471"/>
      <c r="E1" s="471"/>
      <c r="F1" s="471"/>
      <c r="G1" s="471"/>
    </row>
    <row r="2" spans="1:7" ht="14.25" customHeight="1" x14ac:dyDescent="0.25">
      <c r="A2" s="472"/>
      <c r="B2" s="472"/>
      <c r="C2" s="472"/>
      <c r="D2" s="472"/>
      <c r="E2" s="472"/>
      <c r="F2" s="472"/>
      <c r="G2" s="472"/>
    </row>
    <row r="3" spans="1:7" ht="14.4" x14ac:dyDescent="0.25">
      <c r="A3" s="189"/>
    </row>
    <row r="4" spans="1:7" ht="52.8" x14ac:dyDescent="0.25">
      <c r="A4" s="286" t="s">
        <v>122</v>
      </c>
      <c r="B4" s="286" t="s">
        <v>109</v>
      </c>
      <c r="C4" s="297" t="s">
        <v>124</v>
      </c>
      <c r="D4" s="287" t="s">
        <v>123</v>
      </c>
      <c r="E4" s="297" t="s">
        <v>134</v>
      </c>
    </row>
    <row r="5" spans="1:7" ht="55.2" x14ac:dyDescent="0.25">
      <c r="A5" s="288" t="s">
        <v>125</v>
      </c>
      <c r="B5" s="193" t="s">
        <v>126</v>
      </c>
      <c r="C5" s="298" t="s">
        <v>135</v>
      </c>
      <c r="D5" s="289">
        <v>803</v>
      </c>
      <c r="E5" s="299" t="s">
        <v>137</v>
      </c>
    </row>
    <row r="6" spans="1:7" ht="55.2" x14ac:dyDescent="0.25">
      <c r="A6" s="288" t="s">
        <v>127</v>
      </c>
      <c r="B6" s="193" t="s">
        <v>126</v>
      </c>
      <c r="C6" s="298" t="s">
        <v>135</v>
      </c>
      <c r="D6" s="289">
        <v>530</v>
      </c>
      <c r="E6" s="299" t="s">
        <v>138</v>
      </c>
    </row>
    <row r="7" spans="1:7" ht="27.6" x14ac:dyDescent="0.25">
      <c r="A7" s="288" t="s">
        <v>128</v>
      </c>
      <c r="B7" s="193" t="s">
        <v>126</v>
      </c>
      <c r="C7" s="298">
        <v>950</v>
      </c>
      <c r="D7" s="289">
        <v>1042</v>
      </c>
      <c r="E7" s="299" t="s">
        <v>139</v>
      </c>
    </row>
    <row r="8" spans="1:7" ht="41.4" x14ac:dyDescent="0.25">
      <c r="A8" s="288" t="s">
        <v>129</v>
      </c>
      <c r="B8" s="193" t="s">
        <v>126</v>
      </c>
      <c r="C8" s="298">
        <v>750</v>
      </c>
      <c r="D8" s="289">
        <v>847</v>
      </c>
      <c r="E8" s="299" t="s">
        <v>140</v>
      </c>
    </row>
    <row r="9" spans="1:7" ht="55.2" x14ac:dyDescent="0.25">
      <c r="A9" s="288" t="s">
        <v>136</v>
      </c>
      <c r="B9" s="193" t="s">
        <v>126</v>
      </c>
      <c r="C9" s="298" t="s">
        <v>131</v>
      </c>
      <c r="D9" s="289" t="s">
        <v>130</v>
      </c>
      <c r="E9" s="299" t="s">
        <v>141</v>
      </c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S&amp;D  March 17 </vt:lpstr>
      <vt:lpstr>S&amp;D January 2018 (2)</vt:lpstr>
      <vt:lpstr>Ambitious for Croydon</vt:lpstr>
      <vt:lpstr>'S&amp;D January 2018 (2)'!amber</vt:lpstr>
      <vt:lpstr>'Ambitious for Croydon'!Print_Area</vt:lpstr>
      <vt:lpstr>'S&amp;D  March 17 '!Print_Area</vt:lpstr>
      <vt:lpstr>'S&amp;D January 2018 (2)'!Print_Area</vt:lpstr>
      <vt:lpstr>'S&amp;D  March 17 '!Print_Titles</vt:lpstr>
      <vt:lpstr>'S&amp;D January 2018 (2)'!Print_Titles</vt:lpstr>
      <vt:lpstr>'S&amp;D January 2018 (2)'!staggered</vt:lpstr>
    </vt:vector>
  </TitlesOfParts>
  <Company>LBC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Ly, David</dc:creator>
  <cp:lastModifiedBy>Ranger, Adam</cp:lastModifiedBy>
  <cp:lastPrinted>2018-01-11T15:02:10Z</cp:lastPrinted>
  <dcterms:created xsi:type="dcterms:W3CDTF">2017-05-10T13:31:59Z</dcterms:created>
  <dcterms:modified xsi:type="dcterms:W3CDTF">2018-02-28T11:59:00Z</dcterms:modified>
</cp:coreProperties>
</file>